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720" yWindow="680" windowWidth="16800" windowHeight="9400" activeTab="1"/>
  </bookViews>
  <sheets>
    <sheet name="Klonepalm Basic" sheetId="1" r:id="rId1"/>
    <sheet name="PERT" sheetId="2" r:id="rId2"/>
    <sheet name="Klonepalm PERT" sheetId="3" r:id="rId3"/>
    <sheet name="Baja Burrito Crashing" sheetId="4" r:id="rId4"/>
  </sheets>
  <definedNames/>
  <calcPr fullCalcOnLoad="1"/>
</workbook>
</file>

<file path=xl/sharedStrings.xml><?xml version="1.0" encoding="utf-8"?>
<sst xmlns="http://schemas.openxmlformats.org/spreadsheetml/2006/main" count="199" uniqueCount="85">
  <si>
    <t>Activity</t>
  </si>
  <si>
    <t>Time</t>
  </si>
  <si>
    <t>ES</t>
  </si>
  <si>
    <t>EF</t>
  </si>
  <si>
    <t>LS</t>
  </si>
  <si>
    <t>LF</t>
  </si>
  <si>
    <t>Slack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</si>
  <si>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</si>
  <si>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</si>
  <si>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</si>
  <si>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</si>
  <si>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</si>
  <si>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</si>
  <si>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</si>
  <si>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</si>
  <si>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</si>
  <si>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</si>
  <si>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</si>
  <si>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</si>
  <si>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</si>
  <si>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</si>
  <si>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Project Duration =</t>
  </si>
  <si>
    <t>Pred</t>
  </si>
  <si>
    <t>Finish</t>
  </si>
  <si>
    <t>Template for PERT Three-Estimate Approach</t>
  </si>
  <si>
    <t>Time Estimates</t>
  </si>
  <si>
    <t>On Mean</t>
  </si>
  <si>
    <t>o</t>
  </si>
  <si>
    <t>m</t>
  </si>
  <si>
    <t>p</t>
  </si>
  <si>
    <r>
      <t>s</t>
    </r>
    <r>
      <rPr>
        <vertAlign val="superscript"/>
        <sz val="10"/>
        <rFont val="Helv"/>
        <family val="0"/>
      </rPr>
      <t>2</t>
    </r>
  </si>
  <si>
    <t>Critical Path</t>
  </si>
  <si>
    <t>Mean Critical</t>
  </si>
  <si>
    <t>Path</t>
  </si>
  <si>
    <t>m =</t>
  </si>
  <si>
    <r>
      <t>s</t>
    </r>
    <r>
      <rPr>
        <vertAlign val="superscript"/>
        <sz val="10"/>
        <rFont val="Helv"/>
        <family val="0"/>
      </rPr>
      <t>2</t>
    </r>
    <r>
      <rPr>
        <sz val="10"/>
        <rFont val="Helv"/>
        <family val="0"/>
      </rPr>
      <t xml:space="preserve"> =</t>
    </r>
  </si>
  <si>
    <t>P(T&lt;=d) =</t>
  </si>
  <si>
    <t>where</t>
  </si>
  <si>
    <t>d =</t>
  </si>
  <si>
    <t>Data</t>
  </si>
  <si>
    <t>Results</t>
  </si>
  <si>
    <t>Normal</t>
  </si>
  <si>
    <t>Crash</t>
  </si>
  <si>
    <t>Finish Time =</t>
  </si>
  <si>
    <t>Total Cost =</t>
  </si>
  <si>
    <t>Reduce</t>
  </si>
  <si>
    <t>Max</t>
  </si>
  <si>
    <t>H,I</t>
  </si>
  <si>
    <t>C,F</t>
  </si>
  <si>
    <t>D,I</t>
  </si>
  <si>
    <t>E,H,J</t>
  </si>
  <si>
    <t>s=</t>
  </si>
  <si>
    <t>then C=</t>
  </si>
  <si>
    <t>Klonepalm example for PERT</t>
  </si>
  <si>
    <t>O</t>
  </si>
  <si>
    <t>P</t>
  </si>
  <si>
    <t>B,C</t>
  </si>
  <si>
    <t>D,J</t>
  </si>
  <si>
    <t>K,L</t>
  </si>
  <si>
    <t>E,M</t>
  </si>
  <si>
    <t>(CC-NC)/(NT-CT)</t>
  </si>
  <si>
    <t>Baja Burrito Project Scheduling Problem with Time-Cost Trade-offs</t>
  </si>
  <si>
    <t>Klonepalm Example - basic format</t>
  </si>
  <si>
    <t xml:space="preserve">Schedule </t>
  </si>
  <si>
    <t>Node</t>
  </si>
  <si>
    <t>duration</t>
  </si>
  <si>
    <t>Predecessors</t>
  </si>
  <si>
    <t>Critical?</t>
  </si>
  <si>
    <t>Prototype Design</t>
  </si>
  <si>
    <t>Purchase Materials</t>
  </si>
  <si>
    <t>Manufacture Prototypes</t>
  </si>
  <si>
    <t>Revise Design</t>
  </si>
  <si>
    <t>Initial production</t>
  </si>
  <si>
    <t>Staff Training</t>
  </si>
  <si>
    <t>Staff Input on Prototype</t>
  </si>
  <si>
    <t>Sales Training</t>
  </si>
  <si>
    <t>Proproduction Advertising</t>
  </si>
  <si>
    <t>Post-redesign Advertising</t>
  </si>
  <si>
    <t>Time =</t>
  </si>
  <si>
    <t>Critical</t>
  </si>
  <si>
    <t>week saved</t>
  </si>
  <si>
    <t>Cost per</t>
  </si>
  <si>
    <t>Saved</t>
  </si>
  <si>
    <t>Cost</t>
  </si>
  <si>
    <t>If we want P(T&lt;=C) to be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</si>
</sst>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0"/>
    <numFmt numFmtId="165" formatCode="&quot;$&quot;#,##0"/>
  </numFmts>
  <fonts count="46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4"/>
      <name val="Helv"/>
      <family val="0"/>
    </font>
    <font>
      <sz val="10"/>
      <name val="Helv"/>
      <family val="0"/>
    </font>
    <font>
      <vertAlign val="superscript"/>
      <sz val="10"/>
      <name val="Helv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0"/>
      <name val="Verdana"/>
      <family val="0"/>
    </font>
    <font>
      <sz val="8"/>
      <name val="Geneva"/>
      <family val="0"/>
    </font>
    <font>
      <sz val="12"/>
      <name val="Times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right"/>
    </xf>
    <xf numFmtId="0" fontId="5" fillId="0" borderId="0" xfId="0" applyFont="1" applyFill="1" applyAlignment="1" applyProtection="1">
      <alignment horizontal="center"/>
      <protection/>
    </xf>
    <xf numFmtId="0" fontId="5" fillId="34" borderId="14" xfId="0" applyFont="1" applyFill="1" applyBorder="1" applyAlignment="1" applyProtection="1">
      <alignment horizontal="center"/>
      <protection locked="0"/>
    </xf>
    <xf numFmtId="0" fontId="5" fillId="34" borderId="0" xfId="0" applyFont="1" applyFill="1" applyAlignment="1" applyProtection="1">
      <alignment horizontal="center"/>
      <protection locked="0"/>
    </xf>
    <xf numFmtId="0" fontId="5" fillId="33" borderId="0" xfId="0" applyFont="1" applyFill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5" fillId="0" borderId="0" xfId="0" applyFont="1" applyAlignment="1">
      <alignment horizontal="centerContinuous"/>
    </xf>
    <xf numFmtId="0" fontId="5" fillId="0" borderId="10" xfId="0" applyFont="1" applyBorder="1" applyAlignment="1">
      <alignment horizontal="centerContinuous"/>
    </xf>
    <xf numFmtId="0" fontId="5" fillId="0" borderId="19" xfId="0" applyFont="1" applyBorder="1" applyAlignment="1">
      <alignment horizontal="right"/>
    </xf>
    <xf numFmtId="0" fontId="5" fillId="33" borderId="20" xfId="0" applyFont="1" applyFill="1" applyBorder="1" applyAlignment="1">
      <alignment horizontal="center"/>
    </xf>
    <xf numFmtId="0" fontId="5" fillId="0" borderId="13" xfId="0" applyFont="1" applyBorder="1" applyAlignment="1">
      <alignment horizontal="right"/>
    </xf>
    <xf numFmtId="0" fontId="5" fillId="33" borderId="14" xfId="0" applyFont="1" applyFill="1" applyBorder="1" applyAlignment="1">
      <alignment/>
    </xf>
    <xf numFmtId="0" fontId="5" fillId="0" borderId="11" xfId="0" applyFont="1" applyBorder="1" applyAlignment="1">
      <alignment horizontal="right"/>
    </xf>
    <xf numFmtId="0" fontId="5" fillId="34" borderId="12" xfId="0" applyFont="1" applyFill="1" applyBorder="1" applyAlignment="1" applyProtection="1">
      <alignment horizontal="center"/>
      <protection locked="0"/>
    </xf>
    <xf numFmtId="0" fontId="5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5" fillId="0" borderId="13" xfId="0" applyFont="1" applyBorder="1" applyAlignment="1">
      <alignment horizontal="centerContinuous"/>
    </xf>
    <xf numFmtId="0" fontId="5" fillId="0" borderId="14" xfId="0" applyFont="1" applyBorder="1" applyAlignment="1">
      <alignment horizontal="centerContinuous"/>
    </xf>
    <xf numFmtId="0" fontId="5" fillId="0" borderId="13" xfId="0" applyFont="1" applyFill="1" applyBorder="1" applyAlignment="1">
      <alignment horizontal="centerContinuous"/>
    </xf>
    <xf numFmtId="0" fontId="5" fillId="0" borderId="14" xfId="0" applyFont="1" applyFill="1" applyBorder="1" applyAlignment="1">
      <alignment horizontal="centerContinuous"/>
    </xf>
    <xf numFmtId="0" fontId="5" fillId="0" borderId="10" xfId="0" applyFont="1" applyFill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164" fontId="5" fillId="0" borderId="14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right"/>
    </xf>
    <xf numFmtId="0" fontId="5" fillId="33" borderId="11" xfId="0" applyFont="1" applyFill="1" applyBorder="1" applyAlignment="1">
      <alignment horizontal="right"/>
    </xf>
    <xf numFmtId="164" fontId="5" fillId="33" borderId="12" xfId="0" applyNumberFormat="1" applyFont="1" applyFill="1" applyBorder="1" applyAlignment="1">
      <alignment horizontal="left"/>
    </xf>
    <xf numFmtId="0" fontId="5" fillId="0" borderId="0" xfId="0" applyFont="1" applyAlignment="1">
      <alignment horizontal="right"/>
    </xf>
    <xf numFmtId="0" fontId="9" fillId="0" borderId="0" xfId="57">
      <alignment/>
      <protection/>
    </xf>
    <xf numFmtId="0" fontId="9" fillId="0" borderId="0" xfId="57" applyAlignment="1">
      <alignment horizontal="center"/>
      <protection/>
    </xf>
    <xf numFmtId="0" fontId="9" fillId="0" borderId="17" xfId="57" applyBorder="1">
      <alignment/>
      <protection/>
    </xf>
    <xf numFmtId="0" fontId="9" fillId="0" borderId="17" xfId="57" applyBorder="1" applyAlignment="1">
      <alignment horizontal="center"/>
      <protection/>
    </xf>
    <xf numFmtId="0" fontId="9" fillId="0" borderId="21" xfId="57" applyBorder="1" applyAlignment="1">
      <alignment horizontal="center"/>
      <protection/>
    </xf>
    <xf numFmtId="0" fontId="11" fillId="0" borderId="22" xfId="57" applyFont="1" applyBorder="1">
      <alignment/>
      <protection/>
    </xf>
    <xf numFmtId="0" fontId="9" fillId="0" borderId="22" xfId="57" applyBorder="1" applyAlignment="1">
      <alignment horizontal="center"/>
      <protection/>
    </xf>
    <xf numFmtId="0" fontId="11" fillId="0" borderId="22" xfId="57" applyFont="1" applyBorder="1" applyAlignment="1">
      <alignment horizontal="center"/>
      <protection/>
    </xf>
    <xf numFmtId="0" fontId="9" fillId="0" borderId="23" xfId="57" applyBorder="1" applyAlignment="1">
      <alignment horizontal="center"/>
      <protection/>
    </xf>
    <xf numFmtId="0" fontId="11" fillId="0" borderId="17" xfId="57" applyFont="1" applyBorder="1">
      <alignment/>
      <protection/>
    </xf>
    <xf numFmtId="0" fontId="11" fillId="0" borderId="17" xfId="57" applyFont="1" applyBorder="1" applyAlignment="1">
      <alignment horizontal="center"/>
      <protection/>
    </xf>
    <xf numFmtId="0" fontId="11" fillId="0" borderId="24" xfId="57" applyFont="1" applyBorder="1">
      <alignment/>
      <protection/>
    </xf>
    <xf numFmtId="0" fontId="9" fillId="0" borderId="24" xfId="57" applyBorder="1" applyAlignment="1">
      <alignment horizontal="center"/>
      <protection/>
    </xf>
    <xf numFmtId="0" fontId="11" fillId="0" borderId="24" xfId="57" applyFont="1" applyBorder="1" applyAlignment="1">
      <alignment horizontal="center"/>
      <protection/>
    </xf>
    <xf numFmtId="0" fontId="11" fillId="0" borderId="0" xfId="57" applyFont="1" applyFill="1" applyBorder="1">
      <alignment/>
      <protection/>
    </xf>
    <xf numFmtId="0" fontId="5" fillId="0" borderId="25" xfId="0" applyFont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5" fillId="33" borderId="0" xfId="0" applyFont="1" applyFill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Klonepalm Basic.xls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workbookViewId="0" topLeftCell="A1">
      <selection activeCell="B22" sqref="B22"/>
    </sheetView>
  </sheetViews>
  <sheetFormatPr defaultColWidth="12.50390625" defaultRowHeight="12"/>
  <cols>
    <col min="1" max="1" width="12.50390625" style="42" customWidth="1"/>
    <col min="2" max="2" width="20.875" style="42" customWidth="1"/>
    <col min="3" max="3" width="6.00390625" style="43" customWidth="1"/>
    <col min="4" max="4" width="10.125" style="43" customWidth="1"/>
    <col min="5" max="5" width="8.50390625" style="43" customWidth="1"/>
    <col min="6" max="6" width="8.375" style="43" customWidth="1"/>
    <col min="7" max="7" width="7.50390625" style="43" customWidth="1"/>
    <col min="8" max="8" width="6.375" style="43" customWidth="1"/>
    <col min="9" max="9" width="5.375" style="43" customWidth="1"/>
    <col min="10" max="10" width="8.50390625" style="43" customWidth="1"/>
    <col min="11" max="11" width="7.875" style="43" customWidth="1"/>
    <col min="12" max="16384" width="12.50390625" style="42" customWidth="1"/>
  </cols>
  <sheetData>
    <row r="1" ht="12.75">
      <c r="A1" s="42" t="s">
        <v>62</v>
      </c>
    </row>
    <row r="2" ht="12.75">
      <c r="G2" s="43" t="s">
        <v>63</v>
      </c>
    </row>
    <row r="4" spans="2:11" ht="12.75">
      <c r="B4" s="44" t="s">
        <v>0</v>
      </c>
      <c r="C4" s="45" t="s">
        <v>64</v>
      </c>
      <c r="D4" s="46" t="s">
        <v>66</v>
      </c>
      <c r="E4" s="45" t="s">
        <v>65</v>
      </c>
      <c r="F4" s="43" t="s">
        <v>2</v>
      </c>
      <c r="G4" s="43" t="s">
        <v>3</v>
      </c>
      <c r="H4" s="43" t="s">
        <v>4</v>
      </c>
      <c r="I4" s="43" t="s">
        <v>5</v>
      </c>
      <c r="J4" s="43" t="s">
        <v>6</v>
      </c>
      <c r="K4" s="43" t="s">
        <v>67</v>
      </c>
    </row>
    <row r="5" spans="2:11" ht="13.5">
      <c r="B5" s="47" t="s">
        <v>68</v>
      </c>
      <c r="C5" s="48" t="s">
        <v>7</v>
      </c>
      <c r="D5" s="48"/>
      <c r="E5" s="49">
        <v>90</v>
      </c>
      <c r="F5" s="50">
        <v>0</v>
      </c>
      <c r="G5" s="50">
        <f aca="true" t="shared" si="0" ref="G5:G14">F5+E5</f>
        <v>90</v>
      </c>
      <c r="H5" s="50">
        <f aca="true" t="shared" si="1" ref="H5:H14">I5-E5</f>
        <v>0</v>
      </c>
      <c r="I5" s="50">
        <f>MIN(H13,H10,H6)</f>
        <v>90</v>
      </c>
      <c r="J5" s="43">
        <f>I5-G5</f>
        <v>0</v>
      </c>
      <c r="K5" s="43">
        <f>IF(J5,"",1)</f>
        <v>1</v>
      </c>
    </row>
    <row r="6" spans="2:11" ht="13.5">
      <c r="B6" s="51" t="s">
        <v>69</v>
      </c>
      <c r="C6" s="45" t="s">
        <v>8</v>
      </c>
      <c r="D6" s="52" t="s">
        <v>7</v>
      </c>
      <c r="E6" s="52">
        <v>15</v>
      </c>
      <c r="F6" s="50">
        <f>MAX(G5)</f>
        <v>90</v>
      </c>
      <c r="G6" s="50">
        <f t="shared" si="0"/>
        <v>105</v>
      </c>
      <c r="H6" s="50">
        <f t="shared" si="1"/>
        <v>95</v>
      </c>
      <c r="I6" s="50">
        <f>MIN(H7)</f>
        <v>110</v>
      </c>
      <c r="J6" s="43">
        <f aca="true" t="shared" si="2" ref="J6:J14">I6-G6</f>
        <v>5</v>
      </c>
      <c r="K6" s="43">
        <f aca="true" t="shared" si="3" ref="K6:K14">IF(J6,"",1)</f>
      </c>
    </row>
    <row r="7" spans="2:11" ht="13.5">
      <c r="B7" s="51" t="s">
        <v>70</v>
      </c>
      <c r="C7" s="45" t="s">
        <v>9</v>
      </c>
      <c r="D7" s="52" t="s">
        <v>8</v>
      </c>
      <c r="E7" s="52">
        <v>5</v>
      </c>
      <c r="F7" s="50">
        <f>MAX(G6)</f>
        <v>105</v>
      </c>
      <c r="G7" s="50">
        <f t="shared" si="0"/>
        <v>110</v>
      </c>
      <c r="H7" s="50">
        <f t="shared" si="1"/>
        <v>110</v>
      </c>
      <c r="I7" s="50">
        <f>MIN(H11)</f>
        <v>115</v>
      </c>
      <c r="J7" s="43">
        <f t="shared" si="2"/>
        <v>5</v>
      </c>
      <c r="K7" s="43">
        <f t="shared" si="3"/>
      </c>
    </row>
    <row r="8" spans="2:11" ht="13.5">
      <c r="B8" s="51" t="s">
        <v>71</v>
      </c>
      <c r="C8" s="45" t="s">
        <v>10</v>
      </c>
      <c r="D8" s="52" t="s">
        <v>13</v>
      </c>
      <c r="E8" s="52">
        <v>20</v>
      </c>
      <c r="F8" s="50">
        <f>MAX(G11)</f>
        <v>129</v>
      </c>
      <c r="G8" s="50">
        <f t="shared" si="0"/>
        <v>149</v>
      </c>
      <c r="H8" s="50">
        <f t="shared" si="1"/>
        <v>129</v>
      </c>
      <c r="I8" s="50">
        <f>MIN(H9,H12,H14)</f>
        <v>149</v>
      </c>
      <c r="J8" s="43">
        <f t="shared" si="2"/>
        <v>0</v>
      </c>
      <c r="K8" s="43">
        <f t="shared" si="3"/>
        <v>1</v>
      </c>
    </row>
    <row r="9" spans="2:11" ht="13.5">
      <c r="B9" s="51" t="s">
        <v>72</v>
      </c>
      <c r="C9" s="45" t="s">
        <v>11</v>
      </c>
      <c r="D9" s="52" t="s">
        <v>10</v>
      </c>
      <c r="E9" s="52">
        <v>21</v>
      </c>
      <c r="F9" s="50">
        <f>MAX(G8)</f>
        <v>149</v>
      </c>
      <c r="G9" s="50">
        <f t="shared" si="0"/>
        <v>170</v>
      </c>
      <c r="H9" s="50">
        <f t="shared" si="1"/>
        <v>173</v>
      </c>
      <c r="I9" s="50">
        <f>MIN(C17)</f>
        <v>194</v>
      </c>
      <c r="J9" s="43">
        <f t="shared" si="2"/>
        <v>24</v>
      </c>
      <c r="K9" s="43">
        <f t="shared" si="3"/>
      </c>
    </row>
    <row r="10" spans="2:11" ht="13.5">
      <c r="B10" s="51" t="s">
        <v>73</v>
      </c>
      <c r="C10" s="45" t="s">
        <v>12</v>
      </c>
      <c r="D10" s="52" t="s">
        <v>7</v>
      </c>
      <c r="E10" s="52">
        <v>25</v>
      </c>
      <c r="F10" s="50">
        <f>MAX(G5)</f>
        <v>90</v>
      </c>
      <c r="G10" s="50">
        <f t="shared" si="0"/>
        <v>115</v>
      </c>
      <c r="H10" s="50">
        <f t="shared" si="1"/>
        <v>90</v>
      </c>
      <c r="I10" s="50">
        <f>MIN(H11)</f>
        <v>115</v>
      </c>
      <c r="J10" s="43">
        <f t="shared" si="2"/>
        <v>0</v>
      </c>
      <c r="K10" s="43">
        <f t="shared" si="3"/>
        <v>1</v>
      </c>
    </row>
    <row r="11" spans="2:11" ht="13.5">
      <c r="B11" s="51" t="s">
        <v>74</v>
      </c>
      <c r="C11" s="45" t="s">
        <v>13</v>
      </c>
      <c r="D11" s="52" t="s">
        <v>48</v>
      </c>
      <c r="E11" s="52">
        <v>14</v>
      </c>
      <c r="F11" s="50">
        <f>MAX(G7,G10)</f>
        <v>115</v>
      </c>
      <c r="G11" s="50">
        <f t="shared" si="0"/>
        <v>129</v>
      </c>
      <c r="H11" s="50">
        <f t="shared" si="1"/>
        <v>115</v>
      </c>
      <c r="I11" s="50">
        <f>MIN(H8)</f>
        <v>129</v>
      </c>
      <c r="J11" s="43">
        <f t="shared" si="2"/>
        <v>0</v>
      </c>
      <c r="K11" s="43">
        <f t="shared" si="3"/>
        <v>1</v>
      </c>
    </row>
    <row r="12" spans="2:11" ht="13.5">
      <c r="B12" s="51" t="s">
        <v>75</v>
      </c>
      <c r="C12" s="45" t="s">
        <v>14</v>
      </c>
      <c r="D12" s="52" t="s">
        <v>10</v>
      </c>
      <c r="E12" s="52">
        <v>28</v>
      </c>
      <c r="F12" s="50">
        <f>MAX(G8)</f>
        <v>149</v>
      </c>
      <c r="G12" s="50">
        <f t="shared" si="0"/>
        <v>177</v>
      </c>
      <c r="H12" s="50">
        <f t="shared" si="1"/>
        <v>166</v>
      </c>
      <c r="I12" s="50">
        <f>MIN(C17)</f>
        <v>194</v>
      </c>
      <c r="J12" s="43">
        <f t="shared" si="2"/>
        <v>17</v>
      </c>
      <c r="K12" s="43">
        <f t="shared" si="3"/>
      </c>
    </row>
    <row r="13" spans="2:11" ht="13.5">
      <c r="B13" s="51" t="s">
        <v>76</v>
      </c>
      <c r="C13" s="45" t="s">
        <v>15</v>
      </c>
      <c r="D13" s="52" t="s">
        <v>7</v>
      </c>
      <c r="E13" s="52">
        <v>30</v>
      </c>
      <c r="F13" s="50">
        <f>MAX(G5)</f>
        <v>90</v>
      </c>
      <c r="G13" s="50">
        <f t="shared" si="0"/>
        <v>120</v>
      </c>
      <c r="H13" s="50">
        <f t="shared" si="1"/>
        <v>119</v>
      </c>
      <c r="I13" s="50">
        <f>MIN(H14)</f>
        <v>149</v>
      </c>
      <c r="J13" s="43">
        <f t="shared" si="2"/>
        <v>29</v>
      </c>
      <c r="K13" s="43">
        <f t="shared" si="3"/>
      </c>
    </row>
    <row r="14" spans="2:11" ht="13.5">
      <c r="B14" s="53" t="s">
        <v>77</v>
      </c>
      <c r="C14" s="54" t="s">
        <v>16</v>
      </c>
      <c r="D14" s="55" t="s">
        <v>49</v>
      </c>
      <c r="E14" s="55">
        <v>45</v>
      </c>
      <c r="F14" s="50">
        <f>MAX(G8,G13)</f>
        <v>149</v>
      </c>
      <c r="G14" s="50">
        <f t="shared" si="0"/>
        <v>194</v>
      </c>
      <c r="H14" s="50">
        <f t="shared" si="1"/>
        <v>149</v>
      </c>
      <c r="I14" s="50">
        <f>MIN(C17)</f>
        <v>194</v>
      </c>
      <c r="J14" s="43">
        <f t="shared" si="2"/>
        <v>0</v>
      </c>
      <c r="K14" s="43">
        <f t="shared" si="3"/>
        <v>1</v>
      </c>
    </row>
    <row r="17" spans="2:3" ht="13.5">
      <c r="B17" s="56" t="s">
        <v>78</v>
      </c>
      <c r="C17" s="43">
        <f>MAX(G5:G14)</f>
        <v>194</v>
      </c>
    </row>
  </sheetData>
  <sheetProtection/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5"/>
  <sheetViews>
    <sheetView tabSelected="1" workbookViewId="0" topLeftCell="A2">
      <selection activeCell="J28" sqref="J28"/>
    </sheetView>
  </sheetViews>
  <sheetFormatPr defaultColWidth="11.00390625" defaultRowHeight="12"/>
  <cols>
    <col min="1" max="1" width="4.125" style="0" customWidth="1"/>
    <col min="2" max="2" width="6.875" style="0" customWidth="1"/>
    <col min="3" max="3" width="5.625" style="0" customWidth="1"/>
    <col min="4" max="4" width="6.875" style="0" customWidth="1"/>
    <col min="5" max="5" width="6.375" style="0" customWidth="1"/>
    <col min="6" max="6" width="6.00390625" style="0" customWidth="1"/>
    <col min="7" max="7" width="7.375" style="0" customWidth="1"/>
    <col min="8" max="8" width="5.625" style="0" customWidth="1"/>
    <col min="9" max="9" width="7.375" style="0" customWidth="1"/>
    <col min="10" max="10" width="5.50390625" style="0" customWidth="1"/>
    <col min="11" max="11" width="6.375" style="0" customWidth="1"/>
    <col min="12" max="12" width="6.00390625" style="0" customWidth="1"/>
    <col min="13" max="13" width="4.625" style="0" customWidth="1"/>
    <col min="14" max="14" width="9.125" style="0" customWidth="1"/>
  </cols>
  <sheetData>
    <row r="1" spans="1:17" ht="15">
      <c r="A1" s="1" t="s">
        <v>24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2"/>
      <c r="B3" s="9"/>
      <c r="C3" s="8"/>
      <c r="D3" s="2"/>
      <c r="E3" s="2" t="s">
        <v>25</v>
      </c>
      <c r="F3" s="9"/>
      <c r="G3" s="2"/>
      <c r="H3" s="9"/>
      <c r="I3" s="2"/>
      <c r="J3" s="2"/>
      <c r="K3" s="2"/>
      <c r="L3" s="2"/>
      <c r="M3" s="2"/>
      <c r="N3" s="2" t="s">
        <v>26</v>
      </c>
      <c r="O3" s="2"/>
      <c r="P3" s="2"/>
      <c r="Q3" s="2"/>
    </row>
    <row r="4" spans="1:14" ht="13.5" thickBot="1">
      <c r="A4" s="2"/>
      <c r="B4" s="6" t="s">
        <v>0</v>
      </c>
      <c r="C4" s="4" t="s">
        <v>22</v>
      </c>
      <c r="D4" s="4" t="s">
        <v>27</v>
      </c>
      <c r="E4" s="4" t="s">
        <v>28</v>
      </c>
      <c r="F4" s="6" t="s">
        <v>29</v>
      </c>
      <c r="G4" s="4" t="s">
        <v>28</v>
      </c>
      <c r="H4" s="6" t="s">
        <v>30</v>
      </c>
      <c r="I4" s="5" t="s">
        <v>2</v>
      </c>
      <c r="J4" s="4" t="s">
        <v>3</v>
      </c>
      <c r="K4" s="4" t="s">
        <v>4</v>
      </c>
      <c r="L4" s="6" t="s">
        <v>5</v>
      </c>
      <c r="M4" s="4" t="s">
        <v>6</v>
      </c>
      <c r="N4" s="4" t="s">
        <v>31</v>
      </c>
    </row>
    <row r="5" spans="1:14" ht="12.75">
      <c r="A5" s="2"/>
      <c r="B5" s="15" t="s">
        <v>7</v>
      </c>
      <c r="C5" s="28"/>
      <c r="D5" s="16">
        <v>76</v>
      </c>
      <c r="E5" s="16">
        <v>86</v>
      </c>
      <c r="F5" s="15">
        <v>120</v>
      </c>
      <c r="G5" s="17">
        <f aca="true" t="shared" si="0" ref="G5:G18">IF(D5="","",(D5+4*E5+F5)/6)</f>
        <v>90</v>
      </c>
      <c r="H5" s="18">
        <f aca="true" t="shared" si="1" ref="H5:H18">IF(D5="","",((F5-D5)/6)^2)</f>
        <v>53.77777777777777</v>
      </c>
      <c r="I5" s="7">
        <v>0</v>
      </c>
      <c r="J5" s="8">
        <f aca="true" t="shared" si="2" ref="J5:J14">I5+G5</f>
        <v>90</v>
      </c>
      <c r="K5" s="8">
        <f aca="true" t="shared" si="3" ref="K5:K14">L5-G5</f>
        <v>0</v>
      </c>
      <c r="L5" s="9">
        <f>MIN(K6,K10,K13)</f>
        <v>90</v>
      </c>
      <c r="M5" s="2">
        <f>L5-J5</f>
        <v>0</v>
      </c>
      <c r="N5" s="59" t="str">
        <f>IF(AND(M5&gt;-1,M5&lt;1),"Y","")</f>
        <v>Y</v>
      </c>
    </row>
    <row r="6" spans="1:14" ht="12.75">
      <c r="A6" s="2"/>
      <c r="B6" s="15" t="s">
        <v>8</v>
      </c>
      <c r="C6" s="28" t="s">
        <v>7</v>
      </c>
      <c r="D6" s="16">
        <v>12</v>
      </c>
      <c r="E6" s="16">
        <v>15</v>
      </c>
      <c r="F6" s="15">
        <v>18</v>
      </c>
      <c r="G6" s="17">
        <f t="shared" si="0"/>
        <v>15</v>
      </c>
      <c r="H6" s="18">
        <f t="shared" si="1"/>
        <v>1</v>
      </c>
      <c r="I6" s="7">
        <f>MAX(J5)</f>
        <v>90</v>
      </c>
      <c r="J6" s="8">
        <f t="shared" si="2"/>
        <v>105</v>
      </c>
      <c r="K6" s="8">
        <f t="shared" si="3"/>
        <v>95</v>
      </c>
      <c r="L6" s="9">
        <f>MIN(K7)</f>
        <v>110</v>
      </c>
      <c r="M6" s="2">
        <f>L6-J6</f>
        <v>5</v>
      </c>
      <c r="N6" s="59">
        <f aca="true" t="shared" si="4" ref="N6:N19">IF(AND(M6&gt;-1,M6&lt;1),"Y","")</f>
      </c>
    </row>
    <row r="7" spans="1:14" ht="12.75">
      <c r="A7" s="2"/>
      <c r="B7" s="15" t="s">
        <v>9</v>
      </c>
      <c r="C7" s="28" t="s">
        <v>8</v>
      </c>
      <c r="D7" s="16">
        <v>4</v>
      </c>
      <c r="E7" s="16">
        <v>5</v>
      </c>
      <c r="F7" s="15">
        <v>6</v>
      </c>
      <c r="G7" s="17">
        <f t="shared" si="0"/>
        <v>5</v>
      </c>
      <c r="H7" s="18">
        <f t="shared" si="1"/>
        <v>0.1111111111111111</v>
      </c>
      <c r="I7" s="7">
        <f>MAX(J6)</f>
        <v>105</v>
      </c>
      <c r="J7" s="8">
        <f t="shared" si="2"/>
        <v>110</v>
      </c>
      <c r="K7" s="8">
        <f t="shared" si="3"/>
        <v>110</v>
      </c>
      <c r="L7" s="9">
        <f>MIN(K11)</f>
        <v>115</v>
      </c>
      <c r="M7" s="2">
        <f aca="true" t="shared" si="5" ref="M7:M19">L7-J7</f>
        <v>5</v>
      </c>
      <c r="N7" s="59">
        <f t="shared" si="4"/>
      </c>
    </row>
    <row r="8" spans="1:14" ht="12.75">
      <c r="A8" s="2"/>
      <c r="B8" s="15" t="s">
        <v>10</v>
      </c>
      <c r="C8" s="28" t="s">
        <v>13</v>
      </c>
      <c r="D8" s="16">
        <v>15</v>
      </c>
      <c r="E8" s="16">
        <v>18</v>
      </c>
      <c r="F8" s="15">
        <v>33</v>
      </c>
      <c r="G8" s="17">
        <f t="shared" si="0"/>
        <v>20</v>
      </c>
      <c r="H8" s="18">
        <f t="shared" si="1"/>
        <v>9</v>
      </c>
      <c r="I8" s="7">
        <f>MAX(J11)</f>
        <v>129</v>
      </c>
      <c r="J8" s="8">
        <f t="shared" si="2"/>
        <v>149</v>
      </c>
      <c r="K8" s="8">
        <f t="shared" si="3"/>
        <v>129</v>
      </c>
      <c r="L8" s="9">
        <f>MIN(K9,K12,K14)</f>
        <v>149</v>
      </c>
      <c r="M8" s="2">
        <f t="shared" si="5"/>
        <v>0</v>
      </c>
      <c r="N8" s="59" t="str">
        <f t="shared" si="4"/>
        <v>Y</v>
      </c>
    </row>
    <row r="9" spans="1:14" ht="12.75">
      <c r="A9" s="2"/>
      <c r="B9" s="15" t="s">
        <v>11</v>
      </c>
      <c r="C9" s="28" t="s">
        <v>10</v>
      </c>
      <c r="D9" s="16">
        <v>18</v>
      </c>
      <c r="E9" s="16">
        <v>21</v>
      </c>
      <c r="F9" s="15">
        <v>24</v>
      </c>
      <c r="G9" s="17">
        <f t="shared" si="0"/>
        <v>21</v>
      </c>
      <c r="H9" s="18">
        <f t="shared" si="1"/>
        <v>1</v>
      </c>
      <c r="I9" s="7">
        <f>MAX(J8)</f>
        <v>149</v>
      </c>
      <c r="J9" s="8">
        <f t="shared" si="2"/>
        <v>170</v>
      </c>
      <c r="K9" s="8">
        <f t="shared" si="3"/>
        <v>173</v>
      </c>
      <c r="L9" s="9">
        <f>MIN(K19)</f>
        <v>194</v>
      </c>
      <c r="M9" s="2">
        <f t="shared" si="5"/>
        <v>24</v>
      </c>
      <c r="N9" s="59">
        <f t="shared" si="4"/>
      </c>
    </row>
    <row r="10" spans="1:14" ht="12.75">
      <c r="A10" s="2"/>
      <c r="B10" s="15" t="s">
        <v>12</v>
      </c>
      <c r="C10" s="28" t="s">
        <v>7</v>
      </c>
      <c r="D10" s="16">
        <v>16</v>
      </c>
      <c r="E10" s="16">
        <v>26</v>
      </c>
      <c r="F10" s="15">
        <v>30</v>
      </c>
      <c r="G10" s="17">
        <f t="shared" si="0"/>
        <v>25</v>
      </c>
      <c r="H10" s="18">
        <f t="shared" si="1"/>
        <v>5.4444444444444455</v>
      </c>
      <c r="I10" s="7">
        <f>MAX(J5)</f>
        <v>90</v>
      </c>
      <c r="J10" s="8">
        <f t="shared" si="2"/>
        <v>115</v>
      </c>
      <c r="K10" s="8">
        <f t="shared" si="3"/>
        <v>90</v>
      </c>
      <c r="L10" s="9">
        <f>MIN(K11)</f>
        <v>115</v>
      </c>
      <c r="M10" s="2">
        <f t="shared" si="5"/>
        <v>0</v>
      </c>
      <c r="N10" s="59" t="str">
        <f t="shared" si="4"/>
        <v>Y</v>
      </c>
    </row>
    <row r="11" spans="1:14" ht="12.75">
      <c r="A11" s="2"/>
      <c r="B11" s="15" t="s">
        <v>13</v>
      </c>
      <c r="C11" s="28" t="s">
        <v>48</v>
      </c>
      <c r="D11" s="16">
        <v>10</v>
      </c>
      <c r="E11" s="16">
        <v>13</v>
      </c>
      <c r="F11" s="15">
        <v>22</v>
      </c>
      <c r="G11" s="17">
        <f t="shared" si="0"/>
        <v>14</v>
      </c>
      <c r="H11" s="18">
        <f t="shared" si="1"/>
        <v>4</v>
      </c>
      <c r="I11" s="7">
        <f>MAX(J7,J10)</f>
        <v>115</v>
      </c>
      <c r="J11" s="8">
        <f t="shared" si="2"/>
        <v>129</v>
      </c>
      <c r="K11" s="8">
        <f t="shared" si="3"/>
        <v>115</v>
      </c>
      <c r="L11" s="9">
        <f>MIN(K8)</f>
        <v>129</v>
      </c>
      <c r="M11" s="2">
        <f t="shared" si="5"/>
        <v>0</v>
      </c>
      <c r="N11" s="59" t="str">
        <f t="shared" si="4"/>
        <v>Y</v>
      </c>
    </row>
    <row r="12" spans="1:14" ht="12.75">
      <c r="A12" s="2"/>
      <c r="B12" s="15" t="s">
        <v>14</v>
      </c>
      <c r="C12" s="28" t="s">
        <v>10</v>
      </c>
      <c r="D12" s="16">
        <v>24</v>
      </c>
      <c r="E12" s="16">
        <v>28</v>
      </c>
      <c r="F12" s="15">
        <v>32</v>
      </c>
      <c r="G12" s="17">
        <f t="shared" si="0"/>
        <v>28</v>
      </c>
      <c r="H12" s="18">
        <f t="shared" si="1"/>
        <v>1.7777777777777777</v>
      </c>
      <c r="I12" s="7">
        <f>MAX(J8)</f>
        <v>149</v>
      </c>
      <c r="J12" s="8">
        <f t="shared" si="2"/>
        <v>177</v>
      </c>
      <c r="K12" s="8">
        <f t="shared" si="3"/>
        <v>166</v>
      </c>
      <c r="L12" s="9">
        <f>MIN(K19)</f>
        <v>194</v>
      </c>
      <c r="M12" s="2">
        <f t="shared" si="5"/>
        <v>17</v>
      </c>
      <c r="N12" s="59">
        <f t="shared" si="4"/>
      </c>
    </row>
    <row r="13" spans="1:14" ht="12.75">
      <c r="A13" s="2"/>
      <c r="B13" s="15" t="s">
        <v>15</v>
      </c>
      <c r="C13" s="28" t="s">
        <v>7</v>
      </c>
      <c r="D13" s="16">
        <v>22</v>
      </c>
      <c r="E13" s="16">
        <v>27</v>
      </c>
      <c r="F13" s="15">
        <v>50</v>
      </c>
      <c r="G13" s="17">
        <f t="shared" si="0"/>
        <v>30</v>
      </c>
      <c r="H13" s="18">
        <f t="shared" si="1"/>
        <v>21.777777777777782</v>
      </c>
      <c r="I13" s="7">
        <f>MAX(J5)</f>
        <v>90</v>
      </c>
      <c r="J13" s="8">
        <f t="shared" si="2"/>
        <v>120</v>
      </c>
      <c r="K13" s="8">
        <f t="shared" si="3"/>
        <v>119</v>
      </c>
      <c r="L13" s="9">
        <f>MIN(K14)</f>
        <v>149</v>
      </c>
      <c r="M13" s="2">
        <f t="shared" si="5"/>
        <v>29</v>
      </c>
      <c r="N13" s="59">
        <f t="shared" si="4"/>
      </c>
    </row>
    <row r="14" spans="1:14" ht="12.75">
      <c r="A14" s="2"/>
      <c r="B14" s="15" t="s">
        <v>16</v>
      </c>
      <c r="C14" s="28" t="s">
        <v>49</v>
      </c>
      <c r="D14" s="16">
        <v>38</v>
      </c>
      <c r="E14" s="16">
        <v>43</v>
      </c>
      <c r="F14" s="15">
        <v>60</v>
      </c>
      <c r="G14" s="17">
        <f t="shared" si="0"/>
        <v>45</v>
      </c>
      <c r="H14" s="18">
        <f t="shared" si="1"/>
        <v>13.444444444444443</v>
      </c>
      <c r="I14" s="7">
        <f>MAX(J8,J13)</f>
        <v>149</v>
      </c>
      <c r="J14" s="8">
        <f t="shared" si="2"/>
        <v>194</v>
      </c>
      <c r="K14" s="8">
        <f t="shared" si="3"/>
        <v>149</v>
      </c>
      <c r="L14" s="9">
        <f>MIN(K19)</f>
        <v>194</v>
      </c>
      <c r="M14" s="2">
        <f t="shared" si="5"/>
        <v>0</v>
      </c>
      <c r="N14" s="59" t="str">
        <f t="shared" si="4"/>
        <v>Y</v>
      </c>
    </row>
    <row r="15" spans="1:14" ht="12.75">
      <c r="A15" s="2"/>
      <c r="B15" s="15"/>
      <c r="C15" s="28"/>
      <c r="D15" s="16"/>
      <c r="E15" s="16"/>
      <c r="F15" s="15"/>
      <c r="G15" s="17">
        <f t="shared" si="0"/>
      </c>
      <c r="H15" s="18">
        <f t="shared" si="1"/>
      </c>
      <c r="I15" s="7"/>
      <c r="J15" s="8"/>
      <c r="K15" s="8"/>
      <c r="L15" s="9"/>
      <c r="M15" s="2"/>
      <c r="N15" s="59"/>
    </row>
    <row r="16" spans="1:14" ht="12.75">
      <c r="A16" s="2"/>
      <c r="B16" s="15"/>
      <c r="C16" s="28"/>
      <c r="D16" s="16"/>
      <c r="E16" s="16"/>
      <c r="F16" s="15"/>
      <c r="G16" s="17">
        <f t="shared" si="0"/>
      </c>
      <c r="H16" s="18">
        <f t="shared" si="1"/>
      </c>
      <c r="I16" s="7"/>
      <c r="J16" s="8"/>
      <c r="K16" s="8"/>
      <c r="L16" s="9"/>
      <c r="M16" s="2"/>
      <c r="N16" s="59"/>
    </row>
    <row r="17" spans="1:14" ht="12.75">
      <c r="A17" s="2"/>
      <c r="B17" s="15"/>
      <c r="C17" s="28"/>
      <c r="D17" s="16"/>
      <c r="E17" s="16"/>
      <c r="F17" s="15"/>
      <c r="G17" s="17">
        <f t="shared" si="0"/>
      </c>
      <c r="H17" s="18">
        <f t="shared" si="1"/>
      </c>
      <c r="I17" s="7"/>
      <c r="J17" s="8"/>
      <c r="K17" s="8"/>
      <c r="L17" s="9"/>
      <c r="M17" s="2"/>
      <c r="N17" s="59"/>
    </row>
    <row r="18" spans="1:17" ht="12.75">
      <c r="A18" s="2"/>
      <c r="B18" s="15"/>
      <c r="C18" s="28"/>
      <c r="D18" s="16"/>
      <c r="E18" s="16"/>
      <c r="F18" s="15"/>
      <c r="G18" s="17">
        <f t="shared" si="0"/>
      </c>
      <c r="H18" s="18">
        <f t="shared" si="1"/>
      </c>
      <c r="I18" s="7"/>
      <c r="J18" s="8"/>
      <c r="K18" s="8"/>
      <c r="L18" s="9"/>
      <c r="M18" s="2"/>
      <c r="N18" s="59"/>
      <c r="O18" s="14"/>
      <c r="P18" s="2"/>
      <c r="Q18" s="2"/>
    </row>
    <row r="19" spans="1:17" ht="12.75">
      <c r="A19" s="2"/>
      <c r="B19" s="2" t="s">
        <v>23</v>
      </c>
      <c r="C19" s="12" t="s">
        <v>50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f>MAX(J5:J18)</f>
        <v>194</v>
      </c>
      <c r="J19" s="8">
        <f>I19+G19</f>
        <v>194</v>
      </c>
      <c r="K19" s="8">
        <f>L19-G19</f>
        <v>194</v>
      </c>
      <c r="L19" s="11">
        <f>J19</f>
        <v>194</v>
      </c>
      <c r="M19" s="2">
        <f t="shared" si="5"/>
        <v>0</v>
      </c>
      <c r="N19" s="59" t="str">
        <f t="shared" si="4"/>
        <v>Y</v>
      </c>
      <c r="O19" s="2"/>
      <c r="P19" s="2"/>
      <c r="Q19" s="2"/>
    </row>
    <row r="20" spans="1:17" ht="13.5" thickBot="1">
      <c r="A20" s="2"/>
      <c r="B20" s="2"/>
      <c r="C20" s="2"/>
      <c r="D20" s="2"/>
      <c r="E20" s="2"/>
      <c r="F20" s="2"/>
      <c r="G20" s="2"/>
      <c r="H20" s="2"/>
      <c r="I20" s="2"/>
      <c r="J20" s="8"/>
      <c r="K20" s="2"/>
      <c r="L20" s="2"/>
      <c r="M20" s="2"/>
      <c r="N20" s="2"/>
      <c r="O20" s="2"/>
      <c r="P20" s="2"/>
      <c r="Q20" s="2"/>
    </row>
    <row r="21" spans="1:17" ht="13.5" thickBot="1">
      <c r="A21" s="2"/>
      <c r="C21" s="27"/>
      <c r="D21" s="3" t="s">
        <v>39</v>
      </c>
      <c r="E21" s="2"/>
      <c r="F21" s="2"/>
      <c r="G21" s="2"/>
      <c r="H21" s="2"/>
      <c r="I21" s="13" t="s">
        <v>21</v>
      </c>
      <c r="J21" s="10">
        <f>MAX(J19)</f>
        <v>194</v>
      </c>
      <c r="K21" s="2"/>
      <c r="L21" s="2"/>
      <c r="M21" s="2"/>
      <c r="N21" s="2"/>
      <c r="O21" s="2"/>
      <c r="P21" s="2"/>
      <c r="Q21" s="2"/>
    </row>
    <row r="22" spans="1:17" ht="12.75">
      <c r="A22" s="2"/>
      <c r="C22" s="17"/>
      <c r="D22" s="3" t="s">
        <v>40</v>
      </c>
      <c r="E22" s="2"/>
      <c r="F22" s="2"/>
      <c r="G22" s="2"/>
      <c r="H22" s="2"/>
      <c r="N22" s="2"/>
      <c r="O22" s="2"/>
      <c r="P22" s="2"/>
      <c r="Q22" s="2"/>
    </row>
    <row r="23" spans="5:7" ht="12.75">
      <c r="E23" s="14"/>
      <c r="F23" s="19" t="s">
        <v>32</v>
      </c>
      <c r="G23" s="19"/>
    </row>
    <row r="24" spans="5:7" ht="13.5" thickBot="1">
      <c r="E24" s="14"/>
      <c r="F24" s="20" t="s">
        <v>33</v>
      </c>
      <c r="G24" s="20"/>
    </row>
    <row r="25" spans="5:7" ht="12.75">
      <c r="E25" s="14"/>
      <c r="F25" s="21" t="s">
        <v>34</v>
      </c>
      <c r="G25" s="22">
        <f>SUMIF(N5:N18,"Y",G5:G18)</f>
        <v>194</v>
      </c>
    </row>
    <row r="26" spans="5:7" ht="12.75">
      <c r="E26" s="14"/>
      <c r="F26" s="23" t="s">
        <v>35</v>
      </c>
      <c r="G26" s="18">
        <f>SUMIF(N5:N18,"Y",H5:H18)</f>
        <v>85.66666666666666</v>
      </c>
    </row>
    <row r="27" spans="5:7" ht="12.75">
      <c r="E27" s="14"/>
      <c r="F27" s="23" t="s">
        <v>51</v>
      </c>
      <c r="G27" s="24">
        <f>SQRT(G26)</f>
        <v>9.255628917943213</v>
      </c>
    </row>
    <row r="28" spans="5:7" ht="12.75">
      <c r="E28" s="14"/>
      <c r="F28" s="23" t="s">
        <v>36</v>
      </c>
      <c r="G28" s="18">
        <f>NORMDIST(G30,G25,SQRT(G26),1)</f>
        <v>0.06519152997748058</v>
      </c>
    </row>
    <row r="29" spans="5:7" ht="12.75">
      <c r="E29" s="14"/>
      <c r="F29" s="23" t="s">
        <v>37</v>
      </c>
      <c r="G29" s="24"/>
    </row>
    <row r="30" spans="5:7" ht="13.5" thickBot="1">
      <c r="E30" s="14"/>
      <c r="F30" s="25" t="s">
        <v>38</v>
      </c>
      <c r="G30" s="26">
        <v>180</v>
      </c>
    </row>
    <row r="31" spans="5:7" ht="12.75">
      <c r="E31" s="14"/>
      <c r="F31" s="2"/>
      <c r="G31" s="2"/>
    </row>
    <row r="32" spans="5:7" ht="12.75">
      <c r="E32" s="14"/>
      <c r="F32" s="2"/>
      <c r="G32" s="2"/>
    </row>
    <row r="33" spans="5:7" ht="12.75">
      <c r="E33" s="14"/>
      <c r="F33" s="41" t="s">
        <v>84</v>
      </c>
      <c r="G33" s="27">
        <v>0.99</v>
      </c>
    </row>
    <row r="34" spans="5:7" ht="12.75">
      <c r="E34" s="14"/>
      <c r="F34" s="2" t="s">
        <v>52</v>
      </c>
      <c r="G34" s="17">
        <f>NORMINV(G33,G25,G27)</f>
        <v>215.5318126561681</v>
      </c>
    </row>
    <row r="35" spans="5:7" ht="12.75">
      <c r="E35" s="14"/>
      <c r="F35" s="2"/>
      <c r="G35" s="2"/>
    </row>
  </sheetData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6"/>
  <sheetViews>
    <sheetView workbookViewId="0" topLeftCell="A3">
      <selection activeCell="E27" sqref="E27"/>
    </sheetView>
  </sheetViews>
  <sheetFormatPr defaultColWidth="11.00390625" defaultRowHeight="12"/>
  <cols>
    <col min="1" max="1" width="3.50390625" style="0" customWidth="1"/>
    <col min="3" max="3" width="8.875" style="0" customWidth="1"/>
    <col min="4" max="4" width="7.125" style="0" customWidth="1"/>
    <col min="5" max="5" width="7.50390625" style="0" customWidth="1"/>
    <col min="6" max="6" width="5.50390625" style="0" customWidth="1"/>
    <col min="7" max="7" width="6.00390625" style="0" customWidth="1"/>
    <col min="8" max="8" width="5.125" style="0" customWidth="1"/>
    <col min="9" max="9" width="7.125" style="0" customWidth="1"/>
    <col min="10" max="10" width="7.50390625" style="0" customWidth="1"/>
    <col min="11" max="11" width="6.125" style="0" customWidth="1"/>
    <col min="12" max="12" width="7.375" style="0" customWidth="1"/>
    <col min="13" max="13" width="5.875" style="0" customWidth="1"/>
    <col min="14" max="14" width="6.125" style="0" customWidth="1"/>
  </cols>
  <sheetData>
    <row r="1" spans="1:17" ht="15">
      <c r="A1" s="1" t="s">
        <v>53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2"/>
      <c r="B3" s="9"/>
      <c r="C3" s="11"/>
      <c r="D3" s="2"/>
      <c r="E3" s="2" t="s">
        <v>25</v>
      </c>
      <c r="F3" s="9"/>
      <c r="G3" s="2"/>
      <c r="H3" s="9"/>
      <c r="I3" s="2"/>
      <c r="J3" s="2"/>
      <c r="K3" s="2"/>
      <c r="L3" s="2"/>
      <c r="M3" s="2"/>
      <c r="N3" s="2" t="s">
        <v>26</v>
      </c>
      <c r="O3" s="2"/>
      <c r="P3" s="2"/>
      <c r="Q3" s="2"/>
    </row>
    <row r="4" spans="1:17" ht="13.5" thickBot="1">
      <c r="A4" s="2"/>
      <c r="B4" s="6" t="s">
        <v>0</v>
      </c>
      <c r="C4" s="57" t="s">
        <v>22</v>
      </c>
      <c r="D4" s="4" t="s">
        <v>27</v>
      </c>
      <c r="E4" s="4" t="s">
        <v>28</v>
      </c>
      <c r="F4" s="6" t="s">
        <v>29</v>
      </c>
      <c r="G4" s="4" t="s">
        <v>28</v>
      </c>
      <c r="H4" s="6" t="s">
        <v>30</v>
      </c>
      <c r="I4" s="5" t="s">
        <v>2</v>
      </c>
      <c r="J4" s="4" t="s">
        <v>3</v>
      </c>
      <c r="K4" s="4" t="s">
        <v>4</v>
      </c>
      <c r="L4" s="6" t="s">
        <v>5</v>
      </c>
      <c r="M4" s="4" t="s">
        <v>6</v>
      </c>
      <c r="N4" s="4" t="s">
        <v>31</v>
      </c>
      <c r="O4" s="14"/>
      <c r="P4" s="2"/>
      <c r="Q4" s="2"/>
    </row>
    <row r="5" spans="1:14" ht="12.75">
      <c r="A5" s="2"/>
      <c r="B5" s="15" t="s">
        <v>7</v>
      </c>
      <c r="C5" s="58"/>
      <c r="D5" s="16">
        <v>76</v>
      </c>
      <c r="E5" s="16">
        <v>86</v>
      </c>
      <c r="F5" s="15">
        <v>120</v>
      </c>
      <c r="G5" s="17">
        <f aca="true" t="shared" si="0" ref="G5:G18">IF(D5="","",(D5+4*E5+F5)/6)</f>
        <v>90</v>
      </c>
      <c r="H5" s="18">
        <f aca="true" t="shared" si="1" ref="H5:H18">IF(D5="","",((F5-D5)/6)^2)</f>
        <v>53.77777777777777</v>
      </c>
      <c r="I5" s="7">
        <v>0</v>
      </c>
      <c r="J5" s="8">
        <f aca="true" t="shared" si="2" ref="J5:J14">I5+G5</f>
        <v>90</v>
      </c>
      <c r="K5" s="8">
        <f aca="true" t="shared" si="3" ref="K5:K14">L5-G5</f>
        <v>0</v>
      </c>
      <c r="L5" s="9">
        <f>MIN(K6,K10,K13)</f>
        <v>90</v>
      </c>
      <c r="M5" s="2">
        <f>L5-J5</f>
        <v>0</v>
      </c>
      <c r="N5" s="59" t="str">
        <f>IF(AND(M5&gt;-0.05,M5&lt;0.05),"Y","")</f>
        <v>Y</v>
      </c>
    </row>
    <row r="6" spans="1:14" ht="12.75">
      <c r="A6" s="2"/>
      <c r="B6" s="15" t="s">
        <v>8</v>
      </c>
      <c r="C6" s="58" t="s">
        <v>7</v>
      </c>
      <c r="D6" s="16">
        <v>12</v>
      </c>
      <c r="E6" s="16">
        <v>15</v>
      </c>
      <c r="F6" s="15">
        <v>18</v>
      </c>
      <c r="G6" s="17">
        <f t="shared" si="0"/>
        <v>15</v>
      </c>
      <c r="H6" s="18">
        <f t="shared" si="1"/>
        <v>1</v>
      </c>
      <c r="I6" s="7">
        <f>MAX(J5)</f>
        <v>90</v>
      </c>
      <c r="J6" s="8">
        <f t="shared" si="2"/>
        <v>105</v>
      </c>
      <c r="K6" s="8">
        <f t="shared" si="3"/>
        <v>95</v>
      </c>
      <c r="L6" s="9">
        <f>MIN(K7)</f>
        <v>110</v>
      </c>
      <c r="M6" s="2">
        <f>L6-J6</f>
        <v>5</v>
      </c>
      <c r="N6" s="59">
        <f aca="true" t="shared" si="4" ref="N6:N14">IF(AND(M6&gt;-0.05,M6&lt;0.05),"Y","")</f>
      </c>
    </row>
    <row r="7" spans="1:14" ht="12.75">
      <c r="A7" s="2"/>
      <c r="B7" s="15" t="s">
        <v>9</v>
      </c>
      <c r="C7" s="58" t="s">
        <v>8</v>
      </c>
      <c r="D7" s="16">
        <v>4</v>
      </c>
      <c r="E7" s="16">
        <v>5</v>
      </c>
      <c r="F7" s="15">
        <v>6</v>
      </c>
      <c r="G7" s="17">
        <f t="shared" si="0"/>
        <v>5</v>
      </c>
      <c r="H7" s="18">
        <f t="shared" si="1"/>
        <v>0.1111111111111111</v>
      </c>
      <c r="I7" s="7">
        <f>MAX(J6)</f>
        <v>105</v>
      </c>
      <c r="J7" s="8">
        <f t="shared" si="2"/>
        <v>110</v>
      </c>
      <c r="K7" s="8">
        <f t="shared" si="3"/>
        <v>110</v>
      </c>
      <c r="L7" s="9">
        <f>MIN(K11)</f>
        <v>115</v>
      </c>
      <c r="M7" s="2">
        <f aca="true" t="shared" si="5" ref="M7:M19">L7-J7</f>
        <v>5</v>
      </c>
      <c r="N7" s="59">
        <f t="shared" si="4"/>
      </c>
    </row>
    <row r="8" spans="1:14" ht="12.75">
      <c r="A8" s="2"/>
      <c r="B8" s="15" t="s">
        <v>10</v>
      </c>
      <c r="C8" s="58" t="s">
        <v>13</v>
      </c>
      <c r="D8" s="16">
        <v>15</v>
      </c>
      <c r="E8" s="16">
        <v>18</v>
      </c>
      <c r="F8" s="15">
        <v>33</v>
      </c>
      <c r="G8" s="17">
        <f t="shared" si="0"/>
        <v>20</v>
      </c>
      <c r="H8" s="18">
        <f t="shared" si="1"/>
        <v>9</v>
      </c>
      <c r="I8" s="7">
        <f>MAX(J11)</f>
        <v>129</v>
      </c>
      <c r="J8" s="8">
        <f t="shared" si="2"/>
        <v>149</v>
      </c>
      <c r="K8" s="8">
        <f t="shared" si="3"/>
        <v>129</v>
      </c>
      <c r="L8" s="9">
        <f>MIN(K9,K12,K14)</f>
        <v>149</v>
      </c>
      <c r="M8" s="2">
        <f t="shared" si="5"/>
        <v>0</v>
      </c>
      <c r="N8" s="59" t="str">
        <f t="shared" si="4"/>
        <v>Y</v>
      </c>
    </row>
    <row r="9" spans="1:14" ht="12.75">
      <c r="A9" s="2"/>
      <c r="B9" s="15" t="s">
        <v>11</v>
      </c>
      <c r="C9" s="58" t="s">
        <v>10</v>
      </c>
      <c r="D9" s="16">
        <v>18</v>
      </c>
      <c r="E9" s="16">
        <v>21</v>
      </c>
      <c r="F9" s="15">
        <v>24</v>
      </c>
      <c r="G9" s="17">
        <f t="shared" si="0"/>
        <v>21</v>
      </c>
      <c r="H9" s="18">
        <f t="shared" si="1"/>
        <v>1</v>
      </c>
      <c r="I9" s="7">
        <f>MAX(J8)</f>
        <v>149</v>
      </c>
      <c r="J9" s="8">
        <f t="shared" si="2"/>
        <v>170</v>
      </c>
      <c r="K9" s="8">
        <f t="shared" si="3"/>
        <v>173</v>
      </c>
      <c r="L9" s="9">
        <f>MIN(K19)</f>
        <v>194</v>
      </c>
      <c r="M9" s="2">
        <f t="shared" si="5"/>
        <v>24</v>
      </c>
      <c r="N9" s="59">
        <f t="shared" si="4"/>
      </c>
    </row>
    <row r="10" spans="1:14" ht="12.75">
      <c r="A10" s="2"/>
      <c r="B10" s="15" t="s">
        <v>12</v>
      </c>
      <c r="C10" s="58" t="s">
        <v>7</v>
      </c>
      <c r="D10" s="16">
        <v>16</v>
      </c>
      <c r="E10" s="16">
        <v>26</v>
      </c>
      <c r="F10" s="15">
        <v>30</v>
      </c>
      <c r="G10" s="17">
        <f t="shared" si="0"/>
        <v>25</v>
      </c>
      <c r="H10" s="18">
        <f t="shared" si="1"/>
        <v>5.4444444444444455</v>
      </c>
      <c r="I10" s="7">
        <f>MAX(J5)</f>
        <v>90</v>
      </c>
      <c r="J10" s="8">
        <f t="shared" si="2"/>
        <v>115</v>
      </c>
      <c r="K10" s="8">
        <f t="shared" si="3"/>
        <v>90</v>
      </c>
      <c r="L10" s="9">
        <f>MIN(K11)</f>
        <v>115</v>
      </c>
      <c r="M10" s="2">
        <f t="shared" si="5"/>
        <v>0</v>
      </c>
      <c r="N10" s="59" t="str">
        <f t="shared" si="4"/>
        <v>Y</v>
      </c>
    </row>
    <row r="11" spans="1:14" ht="12.75">
      <c r="A11" s="2"/>
      <c r="B11" s="15" t="s">
        <v>13</v>
      </c>
      <c r="C11" s="58" t="s">
        <v>48</v>
      </c>
      <c r="D11" s="16">
        <v>10</v>
      </c>
      <c r="E11" s="16">
        <v>13</v>
      </c>
      <c r="F11" s="15">
        <v>22</v>
      </c>
      <c r="G11" s="17">
        <f t="shared" si="0"/>
        <v>14</v>
      </c>
      <c r="H11" s="18">
        <f t="shared" si="1"/>
        <v>4</v>
      </c>
      <c r="I11" s="7">
        <f>MAX(J7,J10)</f>
        <v>115</v>
      </c>
      <c r="J11" s="8">
        <f t="shared" si="2"/>
        <v>129</v>
      </c>
      <c r="K11" s="8">
        <f t="shared" si="3"/>
        <v>115</v>
      </c>
      <c r="L11" s="9">
        <f>MIN(K8)</f>
        <v>129</v>
      </c>
      <c r="M11" s="2">
        <f t="shared" si="5"/>
        <v>0</v>
      </c>
      <c r="N11" s="59" t="str">
        <f t="shared" si="4"/>
        <v>Y</v>
      </c>
    </row>
    <row r="12" spans="1:14" ht="12.75">
      <c r="A12" s="2"/>
      <c r="B12" s="15" t="s">
        <v>14</v>
      </c>
      <c r="C12" s="58" t="s">
        <v>10</v>
      </c>
      <c r="D12" s="16">
        <v>24</v>
      </c>
      <c r="E12" s="16">
        <v>28</v>
      </c>
      <c r="F12" s="15">
        <v>32</v>
      </c>
      <c r="G12" s="17">
        <f t="shared" si="0"/>
        <v>28</v>
      </c>
      <c r="H12" s="18">
        <f t="shared" si="1"/>
        <v>1.7777777777777777</v>
      </c>
      <c r="I12" s="7">
        <f>MAX(J8)</f>
        <v>149</v>
      </c>
      <c r="J12" s="8">
        <f t="shared" si="2"/>
        <v>177</v>
      </c>
      <c r="K12" s="8">
        <f t="shared" si="3"/>
        <v>166</v>
      </c>
      <c r="L12" s="9">
        <f>MIN(K19)</f>
        <v>194</v>
      </c>
      <c r="M12" s="2">
        <f t="shared" si="5"/>
        <v>17</v>
      </c>
      <c r="N12" s="59">
        <f t="shared" si="4"/>
      </c>
    </row>
    <row r="13" spans="1:14" ht="12.75">
      <c r="A13" s="2"/>
      <c r="B13" s="15" t="s">
        <v>15</v>
      </c>
      <c r="C13" s="58" t="s">
        <v>7</v>
      </c>
      <c r="D13" s="16">
        <v>22</v>
      </c>
      <c r="E13" s="16">
        <v>27</v>
      </c>
      <c r="F13" s="15">
        <v>50</v>
      </c>
      <c r="G13" s="17">
        <f t="shared" si="0"/>
        <v>30</v>
      </c>
      <c r="H13" s="18">
        <f t="shared" si="1"/>
        <v>21.777777777777782</v>
      </c>
      <c r="I13" s="7">
        <f>MAX(J5)</f>
        <v>90</v>
      </c>
      <c r="J13" s="8">
        <f t="shared" si="2"/>
        <v>120</v>
      </c>
      <c r="K13" s="8">
        <f t="shared" si="3"/>
        <v>119</v>
      </c>
      <c r="L13" s="9">
        <f>MIN(K14)</f>
        <v>149</v>
      </c>
      <c r="M13" s="2">
        <f t="shared" si="5"/>
        <v>29</v>
      </c>
      <c r="N13" s="59">
        <f t="shared" si="4"/>
      </c>
    </row>
    <row r="14" spans="1:14" ht="12.75">
      <c r="A14" s="2"/>
      <c r="B14" s="15" t="s">
        <v>16</v>
      </c>
      <c r="C14" s="58" t="s">
        <v>49</v>
      </c>
      <c r="D14" s="16">
        <v>38</v>
      </c>
      <c r="E14" s="16">
        <v>43</v>
      </c>
      <c r="F14" s="15">
        <v>60</v>
      </c>
      <c r="G14" s="17">
        <f t="shared" si="0"/>
        <v>45</v>
      </c>
      <c r="H14" s="18">
        <f t="shared" si="1"/>
        <v>13.444444444444443</v>
      </c>
      <c r="I14" s="7">
        <f>MAX(J8,J13)</f>
        <v>149</v>
      </c>
      <c r="J14" s="8">
        <f t="shared" si="2"/>
        <v>194</v>
      </c>
      <c r="K14" s="8">
        <f t="shared" si="3"/>
        <v>149</v>
      </c>
      <c r="L14" s="9">
        <f>MIN(K19)</f>
        <v>194</v>
      </c>
      <c r="M14" s="2">
        <f t="shared" si="5"/>
        <v>0</v>
      </c>
      <c r="N14" s="59" t="str">
        <f t="shared" si="4"/>
        <v>Y</v>
      </c>
    </row>
    <row r="15" spans="1:14" ht="12.75">
      <c r="A15" s="2"/>
      <c r="B15" s="15"/>
      <c r="C15" s="58"/>
      <c r="D15" s="16"/>
      <c r="E15" s="16"/>
      <c r="F15" s="15"/>
      <c r="G15" s="17">
        <f t="shared" si="0"/>
      </c>
      <c r="H15" s="18">
        <f t="shared" si="1"/>
      </c>
      <c r="I15" s="7"/>
      <c r="J15" s="8"/>
      <c r="K15" s="8"/>
      <c r="L15" s="9"/>
      <c r="M15" s="2"/>
      <c r="N15" s="59"/>
    </row>
    <row r="16" spans="1:14" ht="12.75">
      <c r="A16" s="2"/>
      <c r="B16" s="15"/>
      <c r="C16" s="58"/>
      <c r="D16" s="16"/>
      <c r="E16" s="16"/>
      <c r="F16" s="15"/>
      <c r="G16" s="17">
        <f t="shared" si="0"/>
      </c>
      <c r="H16" s="18">
        <f t="shared" si="1"/>
      </c>
      <c r="I16" s="7"/>
      <c r="J16" s="8"/>
      <c r="K16" s="8"/>
      <c r="L16" s="9"/>
      <c r="M16" s="2"/>
      <c r="N16" s="59"/>
    </row>
    <row r="17" spans="1:14" ht="12.75">
      <c r="A17" s="2"/>
      <c r="B17" s="15"/>
      <c r="C17" s="58"/>
      <c r="D17" s="16"/>
      <c r="E17" s="16"/>
      <c r="F17" s="15"/>
      <c r="G17" s="17">
        <f t="shared" si="0"/>
      </c>
      <c r="H17" s="18">
        <f t="shared" si="1"/>
      </c>
      <c r="I17" s="7"/>
      <c r="J17" s="8"/>
      <c r="K17" s="8"/>
      <c r="L17" s="9"/>
      <c r="M17" s="2"/>
      <c r="N17" s="59"/>
    </row>
    <row r="18" spans="1:17" ht="12.75">
      <c r="A18" s="2"/>
      <c r="B18" s="15"/>
      <c r="C18" s="58"/>
      <c r="D18" s="16"/>
      <c r="E18" s="16"/>
      <c r="F18" s="15"/>
      <c r="G18" s="17">
        <f t="shared" si="0"/>
      </c>
      <c r="H18" s="18">
        <f t="shared" si="1"/>
      </c>
      <c r="I18" s="7"/>
      <c r="J18" s="8"/>
      <c r="K18" s="8"/>
      <c r="L18" s="9"/>
      <c r="M18" s="2"/>
      <c r="N18" s="59"/>
      <c r="O18" s="14"/>
      <c r="P18" s="2"/>
      <c r="Q18" s="2"/>
    </row>
    <row r="19" spans="1:17" ht="12.75">
      <c r="A19" s="2"/>
      <c r="B19" s="2" t="s">
        <v>23</v>
      </c>
      <c r="C19" s="12" t="s">
        <v>50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f>MAX(J5:J18)</f>
        <v>194</v>
      </c>
      <c r="J19" s="8">
        <f>I19+G19</f>
        <v>194</v>
      </c>
      <c r="K19" s="8">
        <f>L19-G19</f>
        <v>194</v>
      </c>
      <c r="L19" s="11">
        <f>J19</f>
        <v>194</v>
      </c>
      <c r="M19" s="2">
        <f t="shared" si="5"/>
        <v>0</v>
      </c>
      <c r="N19" s="59" t="str">
        <f>IF(AND(M19&gt;-1,M19&lt;1),"Y","")</f>
        <v>Y</v>
      </c>
      <c r="O19" s="2"/>
      <c r="P19" s="2"/>
      <c r="Q19" s="2"/>
    </row>
    <row r="20" spans="1:17" ht="13.5" thickBot="1">
      <c r="A20" s="2"/>
      <c r="B20" s="2"/>
      <c r="C20" s="2"/>
      <c r="D20" s="2"/>
      <c r="E20" s="2"/>
      <c r="F20" s="2"/>
      <c r="G20" s="2"/>
      <c r="H20" s="2"/>
      <c r="I20" s="2"/>
      <c r="J20" s="8"/>
      <c r="K20" s="2"/>
      <c r="L20" s="2"/>
      <c r="M20" s="2"/>
      <c r="N20" s="2"/>
      <c r="O20" s="2"/>
      <c r="P20" s="2"/>
      <c r="Q20" s="2"/>
    </row>
    <row r="21" spans="1:17" ht="13.5" thickBot="1">
      <c r="A21" s="2"/>
      <c r="C21" s="27"/>
      <c r="D21" s="3" t="s">
        <v>39</v>
      </c>
      <c r="E21" s="2"/>
      <c r="F21" s="2"/>
      <c r="G21" s="2"/>
      <c r="H21" s="2"/>
      <c r="I21" s="13" t="s">
        <v>21</v>
      </c>
      <c r="J21" s="10">
        <f>MAX(J5:J19)</f>
        <v>194</v>
      </c>
      <c r="K21" s="2"/>
      <c r="L21" s="2"/>
      <c r="M21" s="2"/>
      <c r="N21" s="2"/>
      <c r="O21" s="2"/>
      <c r="P21" s="2"/>
      <c r="Q21" s="2"/>
    </row>
    <row r="22" spans="1:17" ht="12.75">
      <c r="A22" s="2"/>
      <c r="C22" s="17"/>
      <c r="D22" s="3" t="s">
        <v>40</v>
      </c>
      <c r="E22" s="2"/>
      <c r="F22" s="2"/>
      <c r="G22" s="2"/>
      <c r="H22" s="2"/>
      <c r="N22" s="2"/>
      <c r="O22" s="2"/>
      <c r="P22" s="2"/>
      <c r="Q22" s="2"/>
    </row>
    <row r="24" spans="2:5" ht="12.75">
      <c r="B24" s="14"/>
      <c r="D24" s="19" t="s">
        <v>32</v>
      </c>
      <c r="E24" s="19"/>
    </row>
    <row r="25" spans="2:5" ht="13.5" thickBot="1">
      <c r="B25" s="14"/>
      <c r="D25" s="20" t="s">
        <v>33</v>
      </c>
      <c r="E25" s="20"/>
    </row>
    <row r="26" spans="2:5" ht="12.75">
      <c r="B26" s="14"/>
      <c r="D26" s="21" t="s">
        <v>34</v>
      </c>
      <c r="E26" s="22">
        <f>SUMIF(N5:N18,"Y",G5:G18)</f>
        <v>194</v>
      </c>
    </row>
    <row r="27" spans="2:5" ht="12.75">
      <c r="B27" s="14"/>
      <c r="D27" s="23" t="s">
        <v>35</v>
      </c>
      <c r="E27" s="18">
        <f>SUMIF(N5:N18,"Y",H5:H18)</f>
        <v>85.66666666666666</v>
      </c>
    </row>
    <row r="28" spans="2:5" ht="12.75">
      <c r="B28" s="14"/>
      <c r="D28" s="23" t="s">
        <v>51</v>
      </c>
      <c r="E28" s="24">
        <f>SQRT(E27)</f>
        <v>9.255628917943213</v>
      </c>
    </row>
    <row r="29" spans="2:5" ht="12.75">
      <c r="B29" s="14"/>
      <c r="D29" s="23" t="s">
        <v>36</v>
      </c>
      <c r="E29" s="18">
        <f>NORMDIST(E31,E26,SQRT(E27),1)</f>
        <v>0.06519152997748058</v>
      </c>
    </row>
    <row r="30" spans="2:5" ht="12.75">
      <c r="B30" s="14"/>
      <c r="D30" s="23" t="s">
        <v>37</v>
      </c>
      <c r="E30" s="24"/>
    </row>
    <row r="31" spans="2:5" ht="13.5" thickBot="1">
      <c r="B31" s="14"/>
      <c r="D31" s="25" t="s">
        <v>38</v>
      </c>
      <c r="E31" s="26">
        <v>180</v>
      </c>
    </row>
    <row r="32" spans="2:5" ht="12.75">
      <c r="B32" s="14"/>
      <c r="D32" s="2"/>
      <c r="E32" s="2">
        <v>20</v>
      </c>
    </row>
    <row r="33" spans="2:5" ht="12.75">
      <c r="B33" s="14"/>
      <c r="D33" s="2"/>
      <c r="E33" s="2"/>
    </row>
    <row r="34" spans="2:5" ht="12.75">
      <c r="B34" s="14"/>
      <c r="D34" s="41" t="s">
        <v>84</v>
      </c>
      <c r="E34" s="27">
        <v>0.99</v>
      </c>
    </row>
    <row r="35" spans="2:5" ht="12.75">
      <c r="B35" s="14"/>
      <c r="D35" s="2" t="s">
        <v>52</v>
      </c>
      <c r="E35" s="17">
        <f>NORMINV(E34,E26,E28)</f>
        <v>215.5318126561681</v>
      </c>
    </row>
    <row r="36" spans="2:5" ht="12.75">
      <c r="B36" s="14"/>
      <c r="D36" s="2"/>
      <c r="E36" s="2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4"/>
  <sheetViews>
    <sheetView workbookViewId="0" topLeftCell="A1">
      <selection activeCell="Q29" sqref="Q29"/>
    </sheetView>
  </sheetViews>
  <sheetFormatPr defaultColWidth="11.00390625" defaultRowHeight="12"/>
  <cols>
    <col min="1" max="1" width="3.625" style="0" customWidth="1"/>
    <col min="2" max="3" width="6.625" style="0" customWidth="1"/>
    <col min="4" max="4" width="6.50390625" style="0" customWidth="1"/>
    <col min="5" max="5" width="5.50390625" style="0" customWidth="1"/>
    <col min="6" max="6" width="9.625" style="0" customWidth="1"/>
    <col min="7" max="7" width="9.50390625" style="0" customWidth="1"/>
    <col min="8" max="8" width="6.875" style="0" customWidth="1"/>
    <col min="9" max="9" width="10.125" style="0" customWidth="1"/>
    <col min="10" max="10" width="7.125" style="0" customWidth="1"/>
    <col min="11" max="11" width="7.00390625" style="0" customWidth="1"/>
    <col min="12" max="12" width="5.125" style="0" customWidth="1"/>
    <col min="13" max="13" width="5.50390625" style="0" customWidth="1"/>
    <col min="14" max="14" width="6.375" style="0" customWidth="1"/>
    <col min="15" max="15" width="7.00390625" style="0" customWidth="1"/>
    <col min="16" max="16" width="5.625" style="0" customWidth="1"/>
  </cols>
  <sheetData>
    <row r="1" spans="1:12" ht="15">
      <c r="A1" s="1" t="s">
        <v>61</v>
      </c>
      <c r="B1" s="2"/>
      <c r="C1" s="2"/>
      <c r="D1" s="2"/>
      <c r="E1" s="2"/>
      <c r="F1" s="2"/>
      <c r="G1" s="2"/>
      <c r="H1" s="2"/>
      <c r="I1" s="2"/>
      <c r="J1" s="2"/>
      <c r="L1" s="2"/>
    </row>
    <row r="2" spans="1:12" ht="12.75">
      <c r="A2" s="2"/>
      <c r="B2" s="2"/>
      <c r="C2" s="2"/>
      <c r="D2" s="2"/>
      <c r="E2" s="2"/>
      <c r="F2" s="2"/>
      <c r="G2" s="2"/>
      <c r="H2" s="2"/>
      <c r="I2" s="2"/>
      <c r="J2" s="2"/>
      <c r="L2" s="2"/>
    </row>
    <row r="3" spans="1:12" ht="12.75">
      <c r="A3" s="2"/>
      <c r="B3" s="2"/>
      <c r="C3" s="2"/>
      <c r="D3" s="7"/>
      <c r="E3" s="9"/>
      <c r="F3" s="2"/>
      <c r="G3" s="9"/>
      <c r="H3" s="2" t="s">
        <v>46</v>
      </c>
      <c r="I3" s="9" t="s">
        <v>81</v>
      </c>
      <c r="J3" s="2"/>
      <c r="L3" s="2"/>
    </row>
    <row r="4" spans="1:12" ht="12.75">
      <c r="A4" s="2"/>
      <c r="B4" s="2"/>
      <c r="C4" s="2"/>
      <c r="D4" s="29" t="s">
        <v>1</v>
      </c>
      <c r="E4" s="30"/>
      <c r="F4" s="31" t="s">
        <v>83</v>
      </c>
      <c r="G4" s="32"/>
      <c r="H4" s="2" t="s">
        <v>1</v>
      </c>
      <c r="I4" s="9" t="s">
        <v>80</v>
      </c>
      <c r="J4" s="2" t="s">
        <v>1</v>
      </c>
      <c r="L4" s="2"/>
    </row>
    <row r="5" spans="1:16" ht="13.5" thickBot="1">
      <c r="A5" s="2"/>
      <c r="B5" s="4" t="s">
        <v>0</v>
      </c>
      <c r="C5" s="4" t="s">
        <v>22</v>
      </c>
      <c r="D5" s="5" t="s">
        <v>41</v>
      </c>
      <c r="E5" s="6" t="s">
        <v>42</v>
      </c>
      <c r="F5" s="33" t="s">
        <v>41</v>
      </c>
      <c r="G5" s="6" t="s">
        <v>42</v>
      </c>
      <c r="H5" s="4" t="s">
        <v>82</v>
      </c>
      <c r="I5" s="6" t="s">
        <v>60</v>
      </c>
      <c r="J5" s="4" t="s">
        <v>45</v>
      </c>
      <c r="K5" s="5" t="s">
        <v>2</v>
      </c>
      <c r="L5" s="4" t="s">
        <v>3</v>
      </c>
      <c r="M5" s="4" t="s">
        <v>4</v>
      </c>
      <c r="N5" s="6" t="s">
        <v>5</v>
      </c>
      <c r="O5" s="4" t="s">
        <v>6</v>
      </c>
      <c r="P5" s="4" t="s">
        <v>79</v>
      </c>
    </row>
    <row r="6" spans="1:16" ht="12.75">
      <c r="A6" s="2"/>
      <c r="B6" s="2" t="s">
        <v>7</v>
      </c>
      <c r="C6" s="28"/>
      <c r="D6" s="7">
        <v>5</v>
      </c>
      <c r="E6" s="9">
        <v>3</v>
      </c>
      <c r="F6" s="34">
        <v>25000</v>
      </c>
      <c r="G6" s="35">
        <v>36000</v>
      </c>
      <c r="H6" s="2">
        <f aca="true" t="shared" si="0" ref="H6:H21">D6-E6</f>
        <v>2</v>
      </c>
      <c r="I6" s="35">
        <f aca="true" t="shared" si="1" ref="I6:I21">(G6-F6)/H6</f>
        <v>5500</v>
      </c>
      <c r="J6" s="17">
        <v>0</v>
      </c>
      <c r="K6" s="7">
        <v>0</v>
      </c>
      <c r="L6" s="8">
        <f>K6+D6-J6</f>
        <v>5</v>
      </c>
      <c r="M6" s="8">
        <f>N6-D6+J6</f>
        <v>0</v>
      </c>
      <c r="N6" s="9">
        <f>MIN(M7,M8,M9,M10)</f>
        <v>5</v>
      </c>
      <c r="O6" s="2">
        <f>N6-L6</f>
        <v>0</v>
      </c>
      <c r="P6" s="59" t="str">
        <f>IF(AND(O6&gt;-0.5,O6&lt;0.5),"Y","")</f>
        <v>Y</v>
      </c>
    </row>
    <row r="7" spans="1:16" ht="12.75">
      <c r="A7" s="2"/>
      <c r="B7" s="2" t="s">
        <v>8</v>
      </c>
      <c r="C7" s="28" t="s">
        <v>7</v>
      </c>
      <c r="D7" s="7">
        <v>1</v>
      </c>
      <c r="E7" s="9">
        <v>0.5</v>
      </c>
      <c r="F7" s="34">
        <v>10000</v>
      </c>
      <c r="G7" s="35">
        <v>15000</v>
      </c>
      <c r="H7" s="2">
        <f t="shared" si="0"/>
        <v>0.5</v>
      </c>
      <c r="I7" s="35">
        <f t="shared" si="1"/>
        <v>10000</v>
      </c>
      <c r="J7" s="17">
        <v>0</v>
      </c>
      <c r="K7" s="7">
        <f>MAX(L6)</f>
        <v>5</v>
      </c>
      <c r="L7" s="8">
        <f aca="true" t="shared" si="2" ref="L7:L22">K7+D7-J7</f>
        <v>6</v>
      </c>
      <c r="M7" s="8">
        <f aca="true" t="shared" si="3" ref="M7:M22">N7-D7+J7</f>
        <v>7</v>
      </c>
      <c r="N7" s="9">
        <f>MIN(M11)</f>
        <v>8</v>
      </c>
      <c r="O7" s="2">
        <f>N7-L7</f>
        <v>2</v>
      </c>
      <c r="P7" s="59">
        <f aca="true" t="shared" si="4" ref="P7:P21">IF(AND(O7&gt;-0.5,O7&lt;0.5),"Y","")</f>
      </c>
    </row>
    <row r="8" spans="1:16" ht="12.75">
      <c r="A8" s="2"/>
      <c r="B8" s="2" t="s">
        <v>9</v>
      </c>
      <c r="C8" s="28" t="s">
        <v>7</v>
      </c>
      <c r="D8" s="7">
        <v>3</v>
      </c>
      <c r="E8" s="9">
        <v>1.5</v>
      </c>
      <c r="F8" s="34">
        <v>18000</v>
      </c>
      <c r="G8" s="35">
        <v>22000</v>
      </c>
      <c r="H8" s="2">
        <f t="shared" si="0"/>
        <v>1.5</v>
      </c>
      <c r="I8" s="35">
        <f t="shared" si="1"/>
        <v>2666.6666666666665</v>
      </c>
      <c r="J8" s="17">
        <v>0</v>
      </c>
      <c r="K8" s="7">
        <f>MAX(L6)</f>
        <v>5</v>
      </c>
      <c r="L8" s="8">
        <f t="shared" si="2"/>
        <v>8</v>
      </c>
      <c r="M8" s="8">
        <f t="shared" si="3"/>
        <v>5</v>
      </c>
      <c r="N8" s="9">
        <f>MIN(M11)</f>
        <v>8</v>
      </c>
      <c r="O8" s="2">
        <f aca="true" t="shared" si="5" ref="O8:O21">N8-L8</f>
        <v>0</v>
      </c>
      <c r="P8" s="59" t="str">
        <f t="shared" si="4"/>
        <v>Y</v>
      </c>
    </row>
    <row r="9" spans="1:16" ht="12.75">
      <c r="A9" s="2"/>
      <c r="B9" s="2" t="s">
        <v>10</v>
      </c>
      <c r="C9" s="28" t="s">
        <v>7</v>
      </c>
      <c r="D9" s="7">
        <v>2</v>
      </c>
      <c r="E9" s="9">
        <v>1</v>
      </c>
      <c r="F9" s="34">
        <v>8000</v>
      </c>
      <c r="G9" s="35">
        <v>12000</v>
      </c>
      <c r="H9" s="2">
        <f t="shared" si="0"/>
        <v>1</v>
      </c>
      <c r="I9" s="35">
        <f t="shared" si="1"/>
        <v>4000</v>
      </c>
      <c r="J9" s="17">
        <v>0</v>
      </c>
      <c r="K9" s="7">
        <f>MAX(L6)</f>
        <v>5</v>
      </c>
      <c r="L9" s="8">
        <f t="shared" si="2"/>
        <v>7</v>
      </c>
      <c r="M9" s="8">
        <f t="shared" si="3"/>
        <v>17</v>
      </c>
      <c r="N9" s="9">
        <f>MIN(M17)</f>
        <v>19</v>
      </c>
      <c r="O9" s="2">
        <f t="shared" si="5"/>
        <v>12</v>
      </c>
      <c r="P9" s="59">
        <f t="shared" si="4"/>
      </c>
    </row>
    <row r="10" spans="1:16" ht="12.75">
      <c r="A10" s="2"/>
      <c r="B10" s="2" t="s">
        <v>11</v>
      </c>
      <c r="C10" s="28" t="s">
        <v>7</v>
      </c>
      <c r="D10" s="7">
        <v>4</v>
      </c>
      <c r="E10" s="9">
        <v>1.5</v>
      </c>
      <c r="F10" s="34">
        <v>8000</v>
      </c>
      <c r="G10" s="35">
        <v>15000</v>
      </c>
      <c r="H10" s="2">
        <f t="shared" si="0"/>
        <v>2.5</v>
      </c>
      <c r="I10" s="35">
        <f t="shared" si="1"/>
        <v>2800</v>
      </c>
      <c r="J10" s="17">
        <v>0</v>
      </c>
      <c r="K10" s="7">
        <f>MAX(L6)</f>
        <v>5</v>
      </c>
      <c r="L10" s="8">
        <f t="shared" si="2"/>
        <v>9</v>
      </c>
      <c r="M10" s="8">
        <f t="shared" si="3"/>
        <v>21</v>
      </c>
      <c r="N10" s="9">
        <f>MIN(M20)</f>
        <v>25</v>
      </c>
      <c r="O10" s="2">
        <f t="shared" si="5"/>
        <v>16</v>
      </c>
      <c r="P10" s="59">
        <f t="shared" si="4"/>
      </c>
    </row>
    <row r="11" spans="1:16" ht="12.75">
      <c r="A11" s="2"/>
      <c r="B11" s="2" t="s">
        <v>12</v>
      </c>
      <c r="C11" s="28" t="s">
        <v>56</v>
      </c>
      <c r="D11" s="7">
        <v>1</v>
      </c>
      <c r="E11" s="9">
        <v>0.5</v>
      </c>
      <c r="F11" s="34">
        <v>12000</v>
      </c>
      <c r="G11" s="35">
        <v>15000</v>
      </c>
      <c r="H11" s="2">
        <f t="shared" si="0"/>
        <v>0.5</v>
      </c>
      <c r="I11" s="35">
        <f t="shared" si="1"/>
        <v>6000</v>
      </c>
      <c r="J11" s="17">
        <v>0</v>
      </c>
      <c r="K11" s="7">
        <f>MAX(L7,L8)</f>
        <v>8</v>
      </c>
      <c r="L11" s="8">
        <f t="shared" si="2"/>
        <v>9</v>
      </c>
      <c r="M11" s="8">
        <f t="shared" si="3"/>
        <v>8</v>
      </c>
      <c r="N11" s="9">
        <f>MIN(M12)</f>
        <v>9</v>
      </c>
      <c r="O11" s="2">
        <f t="shared" si="5"/>
        <v>0</v>
      </c>
      <c r="P11" s="59" t="str">
        <f t="shared" si="4"/>
        <v>Y</v>
      </c>
    </row>
    <row r="12" spans="1:16" ht="12.75">
      <c r="A12" s="2"/>
      <c r="B12" s="2" t="s">
        <v>13</v>
      </c>
      <c r="C12" s="28" t="s">
        <v>12</v>
      </c>
      <c r="D12" s="7">
        <v>4</v>
      </c>
      <c r="E12" s="9">
        <v>2.5</v>
      </c>
      <c r="F12" s="34">
        <v>20000</v>
      </c>
      <c r="G12" s="35">
        <v>30000</v>
      </c>
      <c r="H12" s="2">
        <f t="shared" si="0"/>
        <v>1.5</v>
      </c>
      <c r="I12" s="35">
        <f t="shared" si="1"/>
        <v>6666.666666666667</v>
      </c>
      <c r="J12" s="17">
        <v>0</v>
      </c>
      <c r="K12" s="7">
        <f>MAX(L11)</f>
        <v>9</v>
      </c>
      <c r="L12" s="8">
        <f t="shared" si="2"/>
        <v>13</v>
      </c>
      <c r="M12" s="8">
        <f t="shared" si="3"/>
        <v>9</v>
      </c>
      <c r="N12" s="9">
        <f>MIN(M13,M14)</f>
        <v>13</v>
      </c>
      <c r="O12" s="2">
        <f t="shared" si="5"/>
        <v>0</v>
      </c>
      <c r="P12" s="59" t="str">
        <f t="shared" si="4"/>
        <v>Y</v>
      </c>
    </row>
    <row r="13" spans="1:16" ht="12.75">
      <c r="A13" s="2"/>
      <c r="B13" s="2" t="s">
        <v>14</v>
      </c>
      <c r="C13" s="28" t="s">
        <v>13</v>
      </c>
      <c r="D13" s="7">
        <v>2</v>
      </c>
      <c r="E13" s="9">
        <v>1.5</v>
      </c>
      <c r="F13" s="34">
        <v>12000</v>
      </c>
      <c r="G13" s="35">
        <v>17000</v>
      </c>
      <c r="H13" s="2">
        <f t="shared" si="0"/>
        <v>0.5</v>
      </c>
      <c r="I13" s="35">
        <f t="shared" si="1"/>
        <v>10000</v>
      </c>
      <c r="J13" s="17">
        <v>0</v>
      </c>
      <c r="K13" s="7">
        <f>MAX(L12)</f>
        <v>13</v>
      </c>
      <c r="L13" s="8">
        <f t="shared" si="2"/>
        <v>15</v>
      </c>
      <c r="M13" s="8">
        <f t="shared" si="3"/>
        <v>15</v>
      </c>
      <c r="N13" s="9">
        <f>MIN(M15)</f>
        <v>17</v>
      </c>
      <c r="O13" s="2">
        <f t="shared" si="5"/>
        <v>2</v>
      </c>
      <c r="P13" s="59">
        <f t="shared" si="4"/>
      </c>
    </row>
    <row r="14" spans="1:16" ht="12.75">
      <c r="A14" s="2"/>
      <c r="B14" s="2" t="s">
        <v>15</v>
      </c>
      <c r="C14" s="28" t="s">
        <v>13</v>
      </c>
      <c r="D14" s="7">
        <v>4</v>
      </c>
      <c r="E14" s="9">
        <v>2.5</v>
      </c>
      <c r="F14" s="34">
        <v>13000</v>
      </c>
      <c r="G14" s="35">
        <v>21000</v>
      </c>
      <c r="H14" s="2">
        <f t="shared" si="0"/>
        <v>1.5</v>
      </c>
      <c r="I14" s="35">
        <f t="shared" si="1"/>
        <v>5333.333333333333</v>
      </c>
      <c r="J14" s="17">
        <v>0</v>
      </c>
      <c r="K14" s="7">
        <f>MAX(L12)</f>
        <v>13</v>
      </c>
      <c r="L14" s="8">
        <f t="shared" si="2"/>
        <v>17</v>
      </c>
      <c r="M14" s="8">
        <f t="shared" si="3"/>
        <v>13</v>
      </c>
      <c r="N14" s="9">
        <f>MIN(M16,M15)</f>
        <v>17</v>
      </c>
      <c r="O14" s="2">
        <f t="shared" si="5"/>
        <v>0</v>
      </c>
      <c r="P14" s="59" t="str">
        <f t="shared" si="4"/>
        <v>Y</v>
      </c>
    </row>
    <row r="15" spans="1:16" ht="12.75">
      <c r="A15" s="2"/>
      <c r="B15" s="2" t="s">
        <v>16</v>
      </c>
      <c r="C15" s="28" t="s">
        <v>47</v>
      </c>
      <c r="D15" s="7">
        <v>2</v>
      </c>
      <c r="E15" s="9">
        <v>1.5</v>
      </c>
      <c r="F15" s="34">
        <v>10000</v>
      </c>
      <c r="G15" s="35">
        <v>16000</v>
      </c>
      <c r="H15" s="2">
        <f t="shared" si="0"/>
        <v>0.5</v>
      </c>
      <c r="I15" s="35">
        <f t="shared" si="1"/>
        <v>12000</v>
      </c>
      <c r="J15" s="17">
        <v>0</v>
      </c>
      <c r="K15" s="7">
        <f>MAX(L13,L14)</f>
        <v>17</v>
      </c>
      <c r="L15" s="8">
        <f t="shared" si="2"/>
        <v>19</v>
      </c>
      <c r="M15" s="8">
        <f t="shared" si="3"/>
        <v>17</v>
      </c>
      <c r="N15" s="9">
        <f>MIN(M21,M17)</f>
        <v>19</v>
      </c>
      <c r="O15" s="2">
        <f t="shared" si="5"/>
        <v>0</v>
      </c>
      <c r="P15" s="59" t="str">
        <f t="shared" si="4"/>
        <v>Y</v>
      </c>
    </row>
    <row r="16" spans="1:16" ht="12.75">
      <c r="A16" s="2"/>
      <c r="B16" s="2" t="s">
        <v>17</v>
      </c>
      <c r="C16" s="28" t="s">
        <v>15</v>
      </c>
      <c r="D16" s="7">
        <v>2</v>
      </c>
      <c r="E16" s="9">
        <v>1</v>
      </c>
      <c r="F16" s="34">
        <v>8000</v>
      </c>
      <c r="G16" s="35">
        <v>12000</v>
      </c>
      <c r="H16" s="2">
        <f t="shared" si="0"/>
        <v>1</v>
      </c>
      <c r="I16" s="35">
        <f t="shared" si="1"/>
        <v>4000</v>
      </c>
      <c r="J16" s="17">
        <v>0</v>
      </c>
      <c r="K16" s="7">
        <f>MAX(L14)</f>
        <v>17</v>
      </c>
      <c r="L16" s="8">
        <f t="shared" si="2"/>
        <v>19</v>
      </c>
      <c r="M16" s="8">
        <f t="shared" si="3"/>
        <v>20</v>
      </c>
      <c r="N16" s="9">
        <f>MIN(M18)</f>
        <v>22</v>
      </c>
      <c r="O16" s="2">
        <f t="shared" si="5"/>
        <v>3</v>
      </c>
      <c r="P16" s="59">
        <f t="shared" si="4"/>
      </c>
    </row>
    <row r="17" spans="1:16" ht="12.75">
      <c r="A17" s="2"/>
      <c r="B17" s="2" t="s">
        <v>18</v>
      </c>
      <c r="C17" s="28" t="s">
        <v>57</v>
      </c>
      <c r="D17" s="7">
        <v>3</v>
      </c>
      <c r="E17" s="9">
        <v>1.5</v>
      </c>
      <c r="F17" s="34">
        <v>14000</v>
      </c>
      <c r="G17" s="35">
        <v>22000</v>
      </c>
      <c r="H17" s="2">
        <f t="shared" si="0"/>
        <v>1.5</v>
      </c>
      <c r="I17" s="35">
        <f t="shared" si="1"/>
        <v>5333.333333333333</v>
      </c>
      <c r="J17" s="17">
        <v>0</v>
      </c>
      <c r="K17" s="7">
        <f>MAX(L9,L15)</f>
        <v>19</v>
      </c>
      <c r="L17" s="8">
        <f t="shared" si="2"/>
        <v>22</v>
      </c>
      <c r="M17" s="8">
        <f t="shared" si="3"/>
        <v>19</v>
      </c>
      <c r="N17" s="9">
        <f>MIN(M18)</f>
        <v>22</v>
      </c>
      <c r="O17" s="2">
        <f t="shared" si="5"/>
        <v>0</v>
      </c>
      <c r="P17" s="59" t="str">
        <f t="shared" si="4"/>
        <v>Y</v>
      </c>
    </row>
    <row r="18" spans="1:16" ht="12.75">
      <c r="A18" s="2"/>
      <c r="B18" s="2" t="s">
        <v>19</v>
      </c>
      <c r="C18" s="28" t="s">
        <v>58</v>
      </c>
      <c r="D18" s="7">
        <v>3</v>
      </c>
      <c r="E18" s="9">
        <v>1.5</v>
      </c>
      <c r="F18" s="34">
        <v>10000</v>
      </c>
      <c r="G18" s="35">
        <v>18000</v>
      </c>
      <c r="H18" s="2">
        <f t="shared" si="0"/>
        <v>1.5</v>
      </c>
      <c r="I18" s="35">
        <f t="shared" si="1"/>
        <v>5333.333333333333</v>
      </c>
      <c r="J18" s="17">
        <v>0</v>
      </c>
      <c r="K18" s="7">
        <f>MAX(L16,L17)</f>
        <v>22</v>
      </c>
      <c r="L18" s="8">
        <f>K18+D18-J18</f>
        <v>25</v>
      </c>
      <c r="M18" s="8">
        <f>N18-D18+J18</f>
        <v>22</v>
      </c>
      <c r="N18" s="9">
        <f>MIN(M19,M20)</f>
        <v>25</v>
      </c>
      <c r="O18" s="2">
        <f t="shared" si="5"/>
        <v>0</v>
      </c>
      <c r="P18" s="59" t="str">
        <f t="shared" si="4"/>
        <v>Y</v>
      </c>
    </row>
    <row r="19" spans="1:16" ht="12.75">
      <c r="A19" s="2"/>
      <c r="B19" s="2" t="s">
        <v>20</v>
      </c>
      <c r="C19" s="28" t="s">
        <v>19</v>
      </c>
      <c r="D19" s="7">
        <v>3</v>
      </c>
      <c r="E19" s="9">
        <v>1</v>
      </c>
      <c r="F19" s="34">
        <v>6000</v>
      </c>
      <c r="G19" s="35">
        <v>9000</v>
      </c>
      <c r="H19" s="2">
        <f t="shared" si="0"/>
        <v>2</v>
      </c>
      <c r="I19" s="35">
        <f t="shared" si="1"/>
        <v>1500</v>
      </c>
      <c r="J19" s="17">
        <v>0</v>
      </c>
      <c r="K19" s="7">
        <f>MAX(L18)</f>
        <v>25</v>
      </c>
      <c r="L19" s="8">
        <f>K19+D19-J19</f>
        <v>28</v>
      </c>
      <c r="M19" s="8">
        <f>N19-D19+J19</f>
        <v>26</v>
      </c>
      <c r="N19" s="9">
        <f>MIN(M22)</f>
        <v>29</v>
      </c>
      <c r="O19" s="2">
        <f t="shared" si="5"/>
        <v>1</v>
      </c>
      <c r="P19" s="59">
        <f t="shared" si="4"/>
      </c>
    </row>
    <row r="20" spans="1:16" ht="12.75">
      <c r="A20" s="2"/>
      <c r="B20" s="2" t="s">
        <v>54</v>
      </c>
      <c r="C20" s="28" t="s">
        <v>59</v>
      </c>
      <c r="D20" s="7">
        <v>4</v>
      </c>
      <c r="E20" s="9">
        <v>2.5</v>
      </c>
      <c r="F20" s="34">
        <v>8000</v>
      </c>
      <c r="G20" s="35">
        <v>14000</v>
      </c>
      <c r="H20" s="2">
        <f t="shared" si="0"/>
        <v>1.5</v>
      </c>
      <c r="I20" s="35">
        <f t="shared" si="1"/>
        <v>4000</v>
      </c>
      <c r="J20" s="17">
        <v>0</v>
      </c>
      <c r="K20" s="7">
        <f>MAX(L10,L18)</f>
        <v>25</v>
      </c>
      <c r="L20" s="8">
        <f t="shared" si="2"/>
        <v>29</v>
      </c>
      <c r="M20" s="8">
        <f t="shared" si="3"/>
        <v>25</v>
      </c>
      <c r="N20" s="9">
        <f>MIN(M22)</f>
        <v>29</v>
      </c>
      <c r="O20" s="2">
        <f t="shared" si="5"/>
        <v>0</v>
      </c>
      <c r="P20" s="59" t="str">
        <f t="shared" si="4"/>
        <v>Y</v>
      </c>
    </row>
    <row r="21" spans="1:16" ht="12.75">
      <c r="A21" s="2"/>
      <c r="B21" s="2" t="s">
        <v>55</v>
      </c>
      <c r="C21" s="28" t="s">
        <v>16</v>
      </c>
      <c r="D21" s="7">
        <v>4</v>
      </c>
      <c r="E21" s="9">
        <v>2.5</v>
      </c>
      <c r="F21" s="34">
        <v>18000</v>
      </c>
      <c r="G21" s="35">
        <v>26000</v>
      </c>
      <c r="H21" s="2">
        <f t="shared" si="0"/>
        <v>1.5</v>
      </c>
      <c r="I21" s="35">
        <f t="shared" si="1"/>
        <v>5333.333333333333</v>
      </c>
      <c r="J21" s="17">
        <v>0</v>
      </c>
      <c r="K21" s="7">
        <f>MAX(L15)</f>
        <v>19</v>
      </c>
      <c r="L21" s="8">
        <f t="shared" si="2"/>
        <v>23</v>
      </c>
      <c r="M21" s="8">
        <f t="shared" si="3"/>
        <v>25</v>
      </c>
      <c r="N21" s="9">
        <f>MIN(M22)</f>
        <v>29</v>
      </c>
      <c r="O21" s="2">
        <f t="shared" si="5"/>
        <v>6</v>
      </c>
      <c r="P21" s="59">
        <f t="shared" si="4"/>
      </c>
    </row>
    <row r="22" spans="1:16" ht="13.5" thickBot="1">
      <c r="A22" s="2"/>
      <c r="B22" s="8" t="s">
        <v>23</v>
      </c>
      <c r="C22" s="12"/>
      <c r="D22" s="8"/>
      <c r="E22" s="8"/>
      <c r="F22" s="8"/>
      <c r="G22" s="8"/>
      <c r="H22" s="8"/>
      <c r="I22" s="36"/>
      <c r="J22" s="37"/>
      <c r="K22" s="2">
        <f>MAX(L6:L21)</f>
        <v>29</v>
      </c>
      <c r="L22" s="8">
        <f t="shared" si="2"/>
        <v>29</v>
      </c>
      <c r="M22" s="8">
        <f t="shared" si="3"/>
        <v>29</v>
      </c>
      <c r="N22" s="11">
        <f>L22</f>
        <v>29</v>
      </c>
      <c r="O22" s="2"/>
      <c r="P22" s="59"/>
    </row>
    <row r="23" spans="1:12" ht="12.75">
      <c r="A23" s="2"/>
      <c r="B23" s="2"/>
      <c r="C23" s="2"/>
      <c r="D23" s="2"/>
      <c r="E23" s="2"/>
      <c r="F23" s="2"/>
      <c r="G23" s="2"/>
      <c r="H23" s="38" t="s">
        <v>43</v>
      </c>
      <c r="I23" s="22">
        <f>L22</f>
        <v>29</v>
      </c>
      <c r="L23" s="2"/>
    </row>
    <row r="24" spans="1:12" ht="13.5" thickBot="1">
      <c r="A24" s="2"/>
      <c r="B24" s="2"/>
      <c r="C24" s="2"/>
      <c r="D24" s="2"/>
      <c r="E24" s="2"/>
      <c r="F24" s="2"/>
      <c r="G24" s="2"/>
      <c r="H24" s="39" t="s">
        <v>44</v>
      </c>
      <c r="I24" s="40">
        <f>SUM(F6:F21)+SUMPRODUCT(I6:I21,J6:J21)</f>
        <v>200000</v>
      </c>
      <c r="L24" s="2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Peltier</dc:creator>
  <cp:keywords/>
  <dc:description/>
  <cp:lastModifiedBy>Information Technology</cp:lastModifiedBy>
  <dcterms:created xsi:type="dcterms:W3CDTF">2002-04-22T16:31:04Z</dcterms:created>
  <dcterms:modified xsi:type="dcterms:W3CDTF">2013-10-16T16:28:58Z</dcterms:modified>
  <cp:category/>
  <cp:version/>
  <cp:contentType/>
  <cp:contentStatus/>
</cp:coreProperties>
</file>